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rcadosemi\Desktop\WIP\True Up Petition 2024-25\Replies to Additional Information II\Transmission and SLDC\"/>
    </mc:Choice>
  </mc:AlternateContent>
  <bookViews>
    <workbookView xWindow="0" yWindow="0" windowWidth="19200" windowHeight="6060"/>
  </bookViews>
  <sheets>
    <sheet name="Summary ARR" sheetId="1" r:id="rId1"/>
    <sheet name="GFA and Funding Pattern" sheetId="2" r:id="rId2"/>
    <sheet name="Capitalization Details (Scheme)" sheetId="3" r:id="rId3"/>
    <sheet name="Depreciation (2025-26)" sheetId="7" r:id="rId4"/>
    <sheet name="Depreciation" sheetId="4" r:id="rId5"/>
    <sheet name="Returrn on Equity" sheetId="5" r:id="rId6"/>
    <sheet name="Interest on Loan" sheetId="6" r:id="rId7"/>
    <sheet name="Operation and Maintenance Exp." sheetId="11" r:id="rId8"/>
    <sheet name="Employee Expenses" sheetId="8" r:id="rId9"/>
    <sheet name="R&amp;M Expenses" sheetId="9" r:id="rId10"/>
    <sheet name="A&amp;G Expenses" sheetId="10" r:id="rId11"/>
    <sheet name="IOWC" sheetId="12" r:id="rId12"/>
    <sheet name="Other Income" sheetId="13" r:id="rId13"/>
  </sheets>
  <externalReferences>
    <externalReference r:id="rId14"/>
  </externalReferenc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4" l="1"/>
  <c r="M16" i="4"/>
  <c r="M15" i="4"/>
  <c r="M14" i="4"/>
  <c r="K14" i="4"/>
  <c r="J14" i="4"/>
  <c r="I14" i="4"/>
  <c r="F14" i="4"/>
  <c r="F15" i="4" s="1"/>
  <c r="E14" i="4"/>
  <c r="E15" i="4" s="1"/>
  <c r="D14" i="4"/>
  <c r="D15" i="4"/>
  <c r="G15" i="4"/>
  <c r="H15" i="4"/>
  <c r="I15" i="4"/>
  <c r="J15" i="4"/>
  <c r="K15" i="4"/>
  <c r="D5" i="4"/>
  <c r="D6" i="4"/>
  <c r="D7" i="4"/>
  <c r="D8" i="4"/>
  <c r="D9" i="4"/>
  <c r="D10" i="4"/>
  <c r="D11" i="4"/>
  <c r="D12" i="4"/>
  <c r="D13" i="4"/>
  <c r="E7" i="4"/>
  <c r="E10" i="4"/>
  <c r="K15" i="7"/>
  <c r="G15" i="7"/>
  <c r="H15" i="7" s="1"/>
  <c r="F16" i="7"/>
  <c r="D16" i="7"/>
  <c r="D6" i="7"/>
  <c r="D7" i="7"/>
  <c r="D8" i="7"/>
  <c r="D9" i="7"/>
  <c r="D10" i="7"/>
  <c r="D11" i="7"/>
  <c r="D12" i="7"/>
  <c r="D13" i="7"/>
  <c r="D14" i="7"/>
  <c r="D15" i="7"/>
  <c r="I15" i="7" l="1"/>
  <c r="D17" i="8"/>
  <c r="D11" i="8"/>
  <c r="E11" i="8"/>
  <c r="F11" i="8"/>
  <c r="D15" i="1" l="1"/>
  <c r="D11" i="1" l="1"/>
  <c r="D13" i="1" s="1"/>
  <c r="D9" i="11"/>
  <c r="K18" i="7"/>
  <c r="J6" i="7"/>
  <c r="J7" i="7"/>
  <c r="J8" i="7"/>
  <c r="J9" i="7"/>
  <c r="J10" i="7"/>
  <c r="J11" i="7"/>
  <c r="J12" i="7"/>
  <c r="J13" i="7"/>
  <c r="J14" i="7"/>
  <c r="F8" i="6"/>
  <c r="E8" i="6"/>
  <c r="D7" i="6"/>
  <c r="D12" i="6"/>
  <c r="E12" i="6" s="1"/>
  <c r="F12" i="6" s="1"/>
  <c r="E11" i="5"/>
  <c r="E7" i="5"/>
  <c r="D9" i="5"/>
  <c r="D10" i="5" s="1"/>
  <c r="D12" i="5" s="1"/>
  <c r="D13" i="5" s="1"/>
  <c r="D15" i="5" s="1"/>
  <c r="M17" i="4"/>
  <c r="C13" i="4"/>
  <c r="G13" i="4" s="1"/>
  <c r="C12" i="4"/>
  <c r="G12" i="4" s="1"/>
  <c r="C11" i="4"/>
  <c r="E11" i="4" s="1"/>
  <c r="E12" i="7" s="1"/>
  <c r="C10" i="4"/>
  <c r="E11" i="7" s="1"/>
  <c r="C9" i="4"/>
  <c r="G9" i="4" s="1"/>
  <c r="C8" i="4"/>
  <c r="G8" i="4" s="1"/>
  <c r="C7" i="4"/>
  <c r="E8" i="7" s="1"/>
  <c r="C6" i="4"/>
  <c r="E6" i="4" s="1"/>
  <c r="C5" i="4"/>
  <c r="G5" i="4" s="1"/>
  <c r="F13" i="2"/>
  <c r="F7" i="2"/>
  <c r="E13" i="2"/>
  <c r="E7" i="2"/>
  <c r="D21" i="3"/>
  <c r="E21" i="3"/>
  <c r="F15" i="3"/>
  <c r="G15" i="3"/>
  <c r="H15" i="3"/>
  <c r="E20" i="3"/>
  <c r="D20" i="3"/>
  <c r="E19" i="3"/>
  <c r="D19" i="3"/>
  <c r="H14" i="3"/>
  <c r="H13" i="3"/>
  <c r="H12" i="3"/>
  <c r="H11" i="3"/>
  <c r="H10" i="3"/>
  <c r="H9" i="3"/>
  <c r="H8" i="3"/>
  <c r="H7" i="3"/>
  <c r="H6" i="3"/>
  <c r="E8" i="4" l="1"/>
  <c r="E9" i="7" s="1"/>
  <c r="E9" i="4"/>
  <c r="E10" i="7" s="1"/>
  <c r="G11" i="4"/>
  <c r="G10" i="4"/>
  <c r="G6" i="4"/>
  <c r="E7" i="7"/>
  <c r="E12" i="4"/>
  <c r="E13" i="7" s="1"/>
  <c r="E5" i="4"/>
  <c r="E13" i="4"/>
  <c r="G7" i="4"/>
  <c r="E6" i="7" l="1"/>
  <c r="E14" i="7"/>
  <c r="E16" i="7" l="1"/>
  <c r="F18" i="2"/>
  <c r="E18" i="2"/>
  <c r="F17" i="2"/>
  <c r="E17" i="2"/>
  <c r="D15" i="2"/>
  <c r="D14" i="2"/>
  <c r="E12" i="2" s="1"/>
  <c r="E14" i="2" s="1"/>
  <c r="E15" i="2" l="1"/>
  <c r="F12" i="2"/>
  <c r="F14" i="2" s="1"/>
  <c r="F15" i="2" s="1"/>
  <c r="D11" i="10" l="1"/>
  <c r="E11" i="10" s="1"/>
  <c r="F11" i="10" s="1"/>
  <c r="D12" i="10"/>
  <c r="E12" i="10" s="1"/>
  <c r="F12" i="10" s="1"/>
  <c r="D13" i="10"/>
  <c r="E13" i="10" s="1"/>
  <c r="F13" i="10" s="1"/>
  <c r="D14" i="10"/>
  <c r="E14" i="10" s="1"/>
  <c r="F14" i="10" s="1"/>
  <c r="D16" i="10"/>
  <c r="E16" i="10" s="1"/>
  <c r="F16" i="10" s="1"/>
  <c r="D17" i="10"/>
  <c r="E17" i="10" s="1"/>
  <c r="F17" i="10" s="1"/>
  <c r="D20" i="10"/>
  <c r="E20" i="10" s="1"/>
  <c r="F20" i="10" s="1"/>
  <c r="D21" i="10"/>
  <c r="E21" i="10" s="1"/>
  <c r="F21" i="10" s="1"/>
  <c r="D22" i="10"/>
  <c r="E22" i="10" s="1"/>
  <c r="F22" i="10" s="1"/>
  <c r="D6" i="9"/>
  <c r="D7" i="9"/>
  <c r="E7" i="9" s="1"/>
  <c r="F7" i="9" s="1"/>
  <c r="D8" i="9"/>
  <c r="E8" i="9" s="1"/>
  <c r="F8" i="9" s="1"/>
  <c r="D9" i="9"/>
  <c r="E9" i="9" s="1"/>
  <c r="F9" i="9" s="1"/>
  <c r="D10" i="9"/>
  <c r="E10" i="9" s="1"/>
  <c r="F10" i="9" s="1"/>
  <c r="D11" i="9"/>
  <c r="E11" i="9" s="1"/>
  <c r="F11" i="9" s="1"/>
  <c r="D12" i="9"/>
  <c r="E12" i="9" s="1"/>
  <c r="F12" i="9" s="1"/>
  <c r="D8" i="8"/>
  <c r="E8" i="8" s="1"/>
  <c r="F8" i="8" s="1"/>
  <c r="D7" i="8"/>
  <c r="E7" i="8" s="1"/>
  <c r="F7" i="8" s="1"/>
  <c r="D6" i="8"/>
  <c r="D8" i="2"/>
  <c r="D6" i="2"/>
  <c r="D7" i="2" l="1"/>
  <c r="D9" i="2" s="1"/>
  <c r="E6" i="9"/>
  <c r="D13" i="9"/>
  <c r="D9" i="8"/>
  <c r="E6" i="8"/>
  <c r="D8" i="6"/>
  <c r="E6" i="2" l="1"/>
  <c r="D10" i="2"/>
  <c r="F6" i="9"/>
  <c r="F13" i="9" s="1"/>
  <c r="E7" i="11" s="1"/>
  <c r="E13" i="9"/>
  <c r="F6" i="8"/>
  <c r="E9" i="8"/>
  <c r="D18" i="2"/>
  <c r="D17" i="2"/>
  <c r="F9" i="8" l="1"/>
  <c r="D15" i="8"/>
  <c r="F19" i="8" s="1"/>
  <c r="E6" i="11" s="1"/>
  <c r="E9" i="2"/>
  <c r="F6" i="2" s="1"/>
  <c r="E10" i="2" l="1"/>
  <c r="F9" i="2"/>
  <c r="F10" i="2" s="1"/>
  <c r="E6" i="5"/>
  <c r="E9" i="5" s="1"/>
  <c r="E10" i="5" s="1"/>
  <c r="E12" i="5" s="1"/>
  <c r="E13" i="5" s="1"/>
  <c r="E15" i="5" s="1"/>
  <c r="E7" i="1" s="1"/>
  <c r="D7" i="12"/>
  <c r="G9" i="7" l="1"/>
  <c r="H9" i="7" s="1"/>
  <c r="I9" i="7" s="1"/>
  <c r="K9" i="7" s="1"/>
  <c r="F8" i="4"/>
  <c r="I8" i="4" s="1"/>
  <c r="J8" i="4" s="1"/>
  <c r="K8" i="4" s="1"/>
  <c r="M8" i="4" s="1"/>
  <c r="F6" i="4"/>
  <c r="I6" i="4" s="1"/>
  <c r="J6" i="4" s="1"/>
  <c r="K6" i="4" s="1"/>
  <c r="M6" i="4" s="1"/>
  <c r="G7" i="7"/>
  <c r="H7" i="7" s="1"/>
  <c r="I7" i="7" s="1"/>
  <c r="K7" i="7" s="1"/>
  <c r="F13" i="4"/>
  <c r="G14" i="7"/>
  <c r="H14" i="7" s="1"/>
  <c r="I14" i="7" s="1"/>
  <c r="K14" i="7" s="1"/>
  <c r="F12" i="4"/>
  <c r="I12" i="4" s="1"/>
  <c r="J12" i="4" s="1"/>
  <c r="K12" i="4" s="1"/>
  <c r="M12" i="4" s="1"/>
  <c r="G13" i="7"/>
  <c r="H13" i="7" s="1"/>
  <c r="I13" i="7" s="1"/>
  <c r="K13" i="7" s="1"/>
  <c r="E12" i="1"/>
  <c r="G12" i="7" l="1"/>
  <c r="H12" i="7" s="1"/>
  <c r="I12" i="7" s="1"/>
  <c r="K12" i="7" s="1"/>
  <c r="F11" i="4"/>
  <c r="I11" i="4" s="1"/>
  <c r="J11" i="4" s="1"/>
  <c r="K11" i="4" s="1"/>
  <c r="M11" i="4" s="1"/>
  <c r="G8" i="7"/>
  <c r="I13" i="4"/>
  <c r="J13" i="4" s="1"/>
  <c r="K13" i="4" s="1"/>
  <c r="M13" i="4" s="1"/>
  <c r="G11" i="7"/>
  <c r="H11" i="7" l="1"/>
  <c r="I11" i="7" s="1"/>
  <c r="K11" i="7" s="1"/>
  <c r="F10" i="4"/>
  <c r="I10" i="4" s="1"/>
  <c r="H8" i="7"/>
  <c r="I8" i="7" s="1"/>
  <c r="K8" i="7" s="1"/>
  <c r="F7" i="4"/>
  <c r="I7" i="4" s="1"/>
  <c r="J7" i="4" s="1"/>
  <c r="K7" i="4" s="1"/>
  <c r="M7" i="4" s="1"/>
  <c r="F5" i="4"/>
  <c r="F9" i="4"/>
  <c r="I9" i="4" s="1"/>
  <c r="J9" i="4" s="1"/>
  <c r="K9" i="4" s="1"/>
  <c r="M9" i="4" s="1"/>
  <c r="G10" i="7"/>
  <c r="H10" i="7" s="1"/>
  <c r="I10" i="7" s="1"/>
  <c r="K10" i="7" s="1"/>
  <c r="J10" i="4" l="1"/>
  <c r="K10" i="4" s="1"/>
  <c r="M10" i="4" s="1"/>
  <c r="I5" i="4"/>
  <c r="J5" i="4" s="1"/>
  <c r="G6" i="7"/>
  <c r="G16" i="7" s="1"/>
  <c r="H6" i="7"/>
  <c r="H16" i="7" s="1"/>
  <c r="I6" i="7" l="1"/>
  <c r="I16" i="7" s="1"/>
  <c r="K5" i="4"/>
  <c r="D9" i="6"/>
  <c r="D15" i="10"/>
  <c r="E15" i="10" s="1"/>
  <c r="F15" i="10" s="1"/>
  <c r="M5" i="4" l="1"/>
  <c r="K6" i="7"/>
  <c r="K16" i="7" s="1"/>
  <c r="D10" i="6"/>
  <c r="E7" i="6" s="1"/>
  <c r="D19" i="10"/>
  <c r="E19" i="10" s="1"/>
  <c r="F19" i="10" s="1"/>
  <c r="D18" i="10"/>
  <c r="E18" i="10" s="1"/>
  <c r="F18" i="10" s="1"/>
  <c r="D10" i="10"/>
  <c r="E10" i="10" s="1"/>
  <c r="F10" i="10" s="1"/>
  <c r="D9" i="10"/>
  <c r="E9" i="10" s="1"/>
  <c r="F9" i="10" s="1"/>
  <c r="D8" i="10"/>
  <c r="E8" i="10" s="1"/>
  <c r="F8" i="10" s="1"/>
  <c r="D7" i="10"/>
  <c r="E7" i="10" s="1"/>
  <c r="F7" i="10" s="1"/>
  <c r="D6" i="10"/>
  <c r="K17" i="7" l="1"/>
  <c r="K19" i="7" s="1"/>
  <c r="K20" i="7" s="1"/>
  <c r="E9" i="6" s="1"/>
  <c r="E10" i="6" s="1"/>
  <c r="F7" i="6" s="1"/>
  <c r="E6" i="10"/>
  <c r="D23" i="10"/>
  <c r="M18" i="4"/>
  <c r="D11" i="6"/>
  <c r="E11" i="6" l="1"/>
  <c r="E13" i="6" s="1"/>
  <c r="F9" i="6"/>
  <c r="F10" i="6" s="1"/>
  <c r="F11" i="6" s="1"/>
  <c r="F13" i="6" s="1"/>
  <c r="E8" i="1" s="1"/>
  <c r="E6" i="1"/>
  <c r="F6" i="10"/>
  <c r="F23" i="10" s="1"/>
  <c r="E8" i="11" s="1"/>
  <c r="E9" i="11" s="1"/>
  <c r="E23" i="10"/>
  <c r="D13" i="6"/>
  <c r="E9" i="1" l="1"/>
  <c r="D6" i="12"/>
  <c r="E14" i="1" l="1"/>
  <c r="D8" i="12" l="1"/>
  <c r="D9" i="12"/>
  <c r="D11" i="12"/>
  <c r="E10" i="1"/>
  <c r="E11" i="1"/>
  <c r="E13" i="1"/>
  <c r="E15" i="1"/>
</calcChain>
</file>

<file path=xl/sharedStrings.xml><?xml version="1.0" encoding="utf-8"?>
<sst xmlns="http://schemas.openxmlformats.org/spreadsheetml/2006/main" count="220" uniqueCount="143">
  <si>
    <t>Particular</t>
  </si>
  <si>
    <t>Closing Figures
2024-25</t>
  </si>
  <si>
    <t>Opening GFA</t>
  </si>
  <si>
    <t>Addition in GFA</t>
  </si>
  <si>
    <t>Deletion from GFA</t>
  </si>
  <si>
    <t>Closing GFA</t>
  </si>
  <si>
    <t>Average GFA</t>
  </si>
  <si>
    <t>Opening Grants</t>
  </si>
  <si>
    <t>Add: Cap Funded Through Grants</t>
  </si>
  <si>
    <t>Closing Grants</t>
  </si>
  <si>
    <t>Average Grants</t>
  </si>
  <si>
    <t>Addition of Fresh Loan</t>
  </si>
  <si>
    <t>Addition of Fresh Equity</t>
  </si>
  <si>
    <t>Estimated
2025-26</t>
  </si>
  <si>
    <t>Claim for 
2026-27</t>
  </si>
  <si>
    <t>Name of Scheme</t>
  </si>
  <si>
    <t xml:space="preserve"> Original Year of Capitalization/ Completion</t>
  </si>
  <si>
    <t>Revised Year of Capitalization/ Completion</t>
  </si>
  <si>
    <t>Scheme Amount</t>
  </si>
  <si>
    <t>Grants</t>
  </si>
  <si>
    <t>In House Funding</t>
  </si>
  <si>
    <t>Expansion of Automatice Demand Management System</t>
  </si>
  <si>
    <t>2025-26</t>
  </si>
  <si>
    <t>Procurement for installationof Remote Terminal Unitsin selected stations for transmission of real time data to Meghalaya SLDC</t>
  </si>
  <si>
    <t>Establishment of VSAT communication system in select stations of Meghalaya</t>
  </si>
  <si>
    <t>2024-25</t>
  </si>
  <si>
    <t>Establishment of 24*7 Security Operation Centre (SOC) for Cyber Security ofSLDC assets and information security</t>
  </si>
  <si>
    <t>Procurement of Load Forecasting tool</t>
  </si>
  <si>
    <t>Procurement&amp;Installationof Data Analytics Engine</t>
  </si>
  <si>
    <t>2026-27</t>
  </si>
  <si>
    <t>Construction of SAMAST Building</t>
  </si>
  <si>
    <t>Construction of back upSLDC Control Centre / Data Recovery Centre</t>
  </si>
  <si>
    <t>Upgradation of Software, Hardware and associated systems for SCADA-EMS system in Meghalaya SLDC</t>
  </si>
  <si>
    <t>Financial Year</t>
  </si>
  <si>
    <t>Additional Capitalization</t>
  </si>
  <si>
    <t>Additional Capitalization Funded throug Grant</t>
  </si>
  <si>
    <t>Total</t>
  </si>
  <si>
    <t>PPE Head</t>
  </si>
  <si>
    <t>Plant and Equipment</t>
  </si>
  <si>
    <t>Plant and Machinery</t>
  </si>
  <si>
    <t>Buildings</t>
  </si>
  <si>
    <t>Addition 2025-26</t>
  </si>
  <si>
    <t>Addition 2026-27</t>
  </si>
  <si>
    <t>Deletion 2026-27</t>
  </si>
  <si>
    <t>Closing GFA as on March 2025</t>
  </si>
  <si>
    <t>Opening GFA 2026-27</t>
  </si>
  <si>
    <t>Closing GFA 
2026-27</t>
  </si>
  <si>
    <t>Average GFA
2026-27</t>
  </si>
  <si>
    <t>90% of Average GFA</t>
  </si>
  <si>
    <t>Rate of Depreciation</t>
  </si>
  <si>
    <t>Depreciation during Year</t>
  </si>
  <si>
    <t>Office Equipments</t>
  </si>
  <si>
    <t>Land</t>
  </si>
  <si>
    <t>Furniture and Fixtures</t>
  </si>
  <si>
    <t>Vehicles</t>
  </si>
  <si>
    <t>Hydraulic Works</t>
  </si>
  <si>
    <t>Other Civil Works</t>
  </si>
  <si>
    <t>Lines and Cable Works</t>
  </si>
  <si>
    <t>Grand Total</t>
  </si>
  <si>
    <t>90% of Average Grants in GFA</t>
  </si>
  <si>
    <t>Less: Depreciation On Grants</t>
  </si>
  <si>
    <t>Ne Depreciation</t>
  </si>
  <si>
    <t xml:space="preserve"> </t>
  </si>
  <si>
    <t>Approved
2026-27</t>
  </si>
  <si>
    <t>Revised 
2026-27</t>
  </si>
  <si>
    <t>Additions</t>
  </si>
  <si>
    <t>Deletions</t>
  </si>
  <si>
    <t>Less: Average Grants</t>
  </si>
  <si>
    <t>Net GFA (not funded through grants)</t>
  </si>
  <si>
    <t>30% of GFA (Equity)</t>
  </si>
  <si>
    <t>Rate of Return on Equity</t>
  </si>
  <si>
    <t>Return on Equity</t>
  </si>
  <si>
    <t>Claimed in True Up
2024-25</t>
  </si>
  <si>
    <t>Computation for 
2025-26</t>
  </si>
  <si>
    <t>Claim
2026-27</t>
  </si>
  <si>
    <t>Opening Loan</t>
  </si>
  <si>
    <t>Addition</t>
  </si>
  <si>
    <t>Repayment</t>
  </si>
  <si>
    <t>Closing Normative Loan</t>
  </si>
  <si>
    <t>Average Loan</t>
  </si>
  <si>
    <t>Rate of Interest on Loan</t>
  </si>
  <si>
    <t>Interest on Loan</t>
  </si>
  <si>
    <t>Deletion</t>
  </si>
  <si>
    <t>Depreciation</t>
  </si>
  <si>
    <t>90% of Average Grants</t>
  </si>
  <si>
    <t>Depreciation on Grants</t>
  </si>
  <si>
    <t>Net Grants</t>
  </si>
  <si>
    <t>Actual for 
2024-25</t>
  </si>
  <si>
    <t>Escalated for 
2025-26</t>
  </si>
  <si>
    <t>Salaries and Wages</t>
  </si>
  <si>
    <t>Contribution to PF</t>
  </si>
  <si>
    <t>Staff Welfare Expenses</t>
  </si>
  <si>
    <t>Escalation Rate</t>
  </si>
  <si>
    <t>Imapct of Pay Revision</t>
  </si>
  <si>
    <t>Manpower Strength</t>
  </si>
  <si>
    <t>Employee Expense (Average)</t>
  </si>
  <si>
    <t xml:space="preserve">Additional Recruitment </t>
  </si>
  <si>
    <t xml:space="preserve">Additional Employee Expenses </t>
  </si>
  <si>
    <t>Net Claim for Employee Expenses</t>
  </si>
  <si>
    <t>Civil Works</t>
  </si>
  <si>
    <t>Lines and Cables</t>
  </si>
  <si>
    <t>vehicles</t>
  </si>
  <si>
    <t>Actual
2024-25</t>
  </si>
  <si>
    <t>Escalated 
2025-26</t>
  </si>
  <si>
    <t>Claim 
2026-27</t>
  </si>
  <si>
    <t>Insurance Charges</t>
  </si>
  <si>
    <t>Rent, Rates and Taxes</t>
  </si>
  <si>
    <t>Telegram, Postage, Telegraph and Telex charges</t>
  </si>
  <si>
    <t>Training, conveyance and vehicle running expenses</t>
  </si>
  <si>
    <t>Printing and stationery expenses</t>
  </si>
  <si>
    <t>Auditors' remuneration</t>
  </si>
  <si>
    <t>Books &amp; Periodicals</t>
  </si>
  <si>
    <t>Advertisement charges</t>
  </si>
  <si>
    <t>Technical Fees</t>
  </si>
  <si>
    <t>Legal and professional charges</t>
  </si>
  <si>
    <t xml:space="preserve">Meghalaya State Electricity Regulatory Commission (MSERC) </t>
  </si>
  <si>
    <t>NERPC Fees</t>
  </si>
  <si>
    <t>Bank Charges</t>
  </si>
  <si>
    <t xml:space="preserve">Miscellaneous expenses </t>
  </si>
  <si>
    <t>Electricity Charges</t>
  </si>
  <si>
    <t>GST Expenses</t>
  </si>
  <si>
    <t>ROC Charges</t>
  </si>
  <si>
    <t>Employee Expenses</t>
  </si>
  <si>
    <t>R&amp;M Expenses</t>
  </si>
  <si>
    <t>A&amp;G Expenses</t>
  </si>
  <si>
    <t>Revised Claim
2026-27</t>
  </si>
  <si>
    <t>Operation and Maintenance Exp.</t>
  </si>
  <si>
    <t>Interest on Working Capital</t>
  </si>
  <si>
    <t xml:space="preserve">Sub-Total </t>
  </si>
  <si>
    <t>Less Other Income</t>
  </si>
  <si>
    <t>Net ARR</t>
  </si>
  <si>
    <t>Operation and Maintanence Exp. (1 Month)</t>
  </si>
  <si>
    <t>Maintenances Spares</t>
  </si>
  <si>
    <t>Receivables</t>
  </si>
  <si>
    <t>Total Working Capital Requirement</t>
  </si>
  <si>
    <t>Rate on Interest on Working Capital</t>
  </si>
  <si>
    <t>Revised
2026-27</t>
  </si>
  <si>
    <t>Add: Revenue Gap/(surplus) for 2024-25</t>
  </si>
  <si>
    <t>Net ARR Recoverable in 2026-27</t>
  </si>
  <si>
    <t>Additional Claim</t>
  </si>
  <si>
    <t>No</t>
  </si>
  <si>
    <t>Inteangible Assets</t>
  </si>
  <si>
    <t>Intangible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</si>
</sst>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11"/>
      <color theme="1"/>
      <name val="Candara"/>
      <family val="2"/>
    </font>
    <font>
      <sz val="11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0" borderId="1" xfId="0" pivotButton="1" applyFont="1" applyBorder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1" fillId="0" borderId="1" xfId="0" applyNumberFormat="1" applyFont="1" applyBorder="1"/>
    <xf numFmtId="10" fontId="1" fillId="0" borderId="1" xfId="0" applyNumberFormat="1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/>
    <xf numFmtId="10" fontId="2" fillId="2" borderId="0" xfId="0" applyNumberFormat="1" applyFont="1" applyFill="1"/>
    <xf numFmtId="0" fontId="2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rcadosemi/Desktop/WIP/True%20Up%20Petition%202024-25/Transmission/True%20Up%20Model_SLDC_2024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GFA and Grants"/>
      <sheetName val="Operation and Maintanence Exp."/>
      <sheetName val="Employee Expenses"/>
      <sheetName val="R&amp;M Expenses"/>
      <sheetName val="A&amp;G Expenses"/>
      <sheetName val="Interest on Loan"/>
      <sheetName val="Depreciation"/>
      <sheetName val="Retunr on Equity"/>
      <sheetName val="IOWC"/>
      <sheetName val="Other Income"/>
      <sheetName val="Income from Operation"/>
    </sheetNames>
    <sheetDataSet>
      <sheetData sheetId="0">
        <row r="12">
          <cell r="E12">
            <v>2.586E-4</v>
          </cell>
        </row>
        <row r="15">
          <cell r="E15">
            <v>1.3867865026828872</v>
          </cell>
        </row>
      </sheetData>
      <sheetData sheetId="1">
        <row r="6">
          <cell r="E6">
            <v>16.283380772000001</v>
          </cell>
        </row>
        <row r="7">
          <cell r="E7">
            <v>1.44403E-2</v>
          </cell>
        </row>
        <row r="8">
          <cell r="E8">
            <v>6.5513699999999999E-3</v>
          </cell>
        </row>
      </sheetData>
      <sheetData sheetId="2"/>
      <sheetData sheetId="3">
        <row r="6">
          <cell r="E6">
            <v>2.9937662999999999</v>
          </cell>
        </row>
        <row r="7">
          <cell r="E7">
            <v>0.18209400000000001</v>
          </cell>
        </row>
        <row r="8">
          <cell r="E8">
            <v>3.9877000000000003E-3</v>
          </cell>
        </row>
      </sheetData>
      <sheetData sheetId="4"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5.21521E-2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0.87883683800000012</v>
          </cell>
        </row>
      </sheetData>
      <sheetData sheetId="5">
        <row r="6">
          <cell r="E6">
            <v>2.7412999999999999E-3</v>
          </cell>
        </row>
        <row r="7">
          <cell r="E7">
            <v>0</v>
          </cell>
        </row>
        <row r="8">
          <cell r="E8">
            <v>6.3511999999999999E-2</v>
          </cell>
        </row>
        <row r="9">
          <cell r="E9">
            <v>0.14437449999999999</v>
          </cell>
        </row>
        <row r="10">
          <cell r="E10">
            <v>5.0495999999999996E-3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1.18885E-2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2.7186199999999999E-4</v>
          </cell>
        </row>
        <row r="19">
          <cell r="E19">
            <v>5.72143E-4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</sheetData>
      <sheetData sheetId="6">
        <row r="6">
          <cell r="E6">
            <v>9.9499999999999993</v>
          </cell>
        </row>
        <row r="7">
          <cell r="E7">
            <v>1.0108209999999999E-2</v>
          </cell>
        </row>
        <row r="8">
          <cell r="E8">
            <v>1.3147365720361499</v>
          </cell>
        </row>
        <row r="9">
          <cell r="E9">
            <v>8.6453716379638497</v>
          </cell>
        </row>
        <row r="10">
          <cell r="E10">
            <v>9.2976858189819254</v>
          </cell>
        </row>
        <row r="11">
          <cell r="E11">
            <v>8.3799999999999999E-2</v>
          </cell>
        </row>
        <row r="12">
          <cell r="E12">
            <v>0.77914607163068539</v>
          </cell>
        </row>
      </sheetData>
      <sheetData sheetId="7">
        <row r="6">
          <cell r="C6" t="str">
            <v>Land</v>
          </cell>
          <cell r="D6">
            <v>0</v>
          </cell>
          <cell r="G6">
            <v>0</v>
          </cell>
        </row>
        <row r="7">
          <cell r="C7" t="str">
            <v>Buildings</v>
          </cell>
          <cell r="D7">
            <v>0.87586136400000003</v>
          </cell>
          <cell r="G7">
            <v>0.87586136400000003</v>
          </cell>
        </row>
        <row r="8">
          <cell r="C8" t="str">
            <v>Plant and Machinery</v>
          </cell>
          <cell r="D8">
            <v>8.3150000000000002E-2</v>
          </cell>
          <cell r="G8">
            <v>8.3150000000000002E-2</v>
          </cell>
        </row>
        <row r="9">
          <cell r="C9" t="str">
            <v>Furniture and Fixtures</v>
          </cell>
          <cell r="D9">
            <v>0</v>
          </cell>
          <cell r="G9">
            <v>0</v>
          </cell>
        </row>
        <row r="10">
          <cell r="C10" t="str">
            <v>Vehicles</v>
          </cell>
          <cell r="D10">
            <v>0</v>
          </cell>
          <cell r="G10">
            <v>0</v>
          </cell>
        </row>
        <row r="11">
          <cell r="C11" t="str">
            <v>Office Equipments</v>
          </cell>
          <cell r="D11">
            <v>6.5157897579999995</v>
          </cell>
          <cell r="G11">
            <v>6.5236786879999995</v>
          </cell>
        </row>
        <row r="12">
          <cell r="C12" t="str">
            <v>Hydraulic Works</v>
          </cell>
          <cell r="D12">
            <v>0</v>
          </cell>
          <cell r="G12">
            <v>0</v>
          </cell>
        </row>
        <row r="13">
          <cell r="C13" t="str">
            <v>Other Civil Works</v>
          </cell>
          <cell r="D13">
            <v>0</v>
          </cell>
          <cell r="G13">
            <v>0</v>
          </cell>
        </row>
        <row r="14">
          <cell r="C14" t="str">
            <v>Lines and Cable Works</v>
          </cell>
          <cell r="D14">
            <v>3.1564999999999999</v>
          </cell>
          <cell r="G14">
            <v>3.1564999999999999</v>
          </cell>
        </row>
        <row r="15">
          <cell r="D15">
            <v>5.6520796500000001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5"/>
  <sheetViews>
    <sheetView tabSelected="1" workbookViewId="0">
      <selection activeCell="C7" sqref="C7"/>
    </sheetView>
  </sheetViews>
  <sheetFormatPr defaultRowHeight="14.5" x14ac:dyDescent="0.35"/>
  <cols>
    <col min="1" max="2" width="8.7265625" style="1"/>
    <col min="3" max="3" width="34.54296875" style="1" customWidth="1"/>
    <col min="4" max="4" width="9.6328125" style="1" customWidth="1"/>
    <col min="5" max="5" width="9.54296875" style="1" customWidth="1"/>
    <col min="6" max="16384" width="8.7265625" style="1"/>
  </cols>
  <sheetData>
    <row r="5" spans="3:5" ht="29" x14ac:dyDescent="0.35">
      <c r="C5" s="13" t="s">
        <v>0</v>
      </c>
      <c r="D5" s="14" t="s">
        <v>63</v>
      </c>
      <c r="E5" s="14" t="s">
        <v>136</v>
      </c>
    </row>
    <row r="6" spans="3:5" x14ac:dyDescent="0.35">
      <c r="C6" s="3" t="s">
        <v>83</v>
      </c>
      <c r="D6" s="7">
        <v>9.48</v>
      </c>
      <c r="E6" s="9">
        <f>Depreciation!M19</f>
        <v>1.1251640772496945</v>
      </c>
    </row>
    <row r="7" spans="3:5" x14ac:dyDescent="0.35">
      <c r="C7" s="3" t="s">
        <v>71</v>
      </c>
      <c r="D7" s="7">
        <v>3.29</v>
      </c>
      <c r="E7" s="9">
        <f>'Returrn on Equity'!E15</f>
        <v>0.78650332748399987</v>
      </c>
    </row>
    <row r="8" spans="3:5" x14ac:dyDescent="0.35">
      <c r="C8" s="3" t="s">
        <v>81</v>
      </c>
      <c r="D8" s="7">
        <v>3.4</v>
      </c>
      <c r="E8" s="9">
        <f>'Interest on Loan'!F13</f>
        <v>0.72356231543549876</v>
      </c>
    </row>
    <row r="9" spans="3:5" x14ac:dyDescent="0.35">
      <c r="C9" s="3" t="s">
        <v>126</v>
      </c>
      <c r="D9" s="7">
        <v>4.8600000000000003</v>
      </c>
      <c r="E9" s="9">
        <f>'Operation and Maintenance Exp.'!E9</f>
        <v>4.8498540032299999</v>
      </c>
    </row>
    <row r="10" spans="3:5" x14ac:dyDescent="0.35">
      <c r="C10" s="3" t="s">
        <v>127</v>
      </c>
      <c r="D10" s="7">
        <v>0.66</v>
      </c>
      <c r="E10" s="9">
        <f ca="1">IOWC!D11</f>
        <v>0.3534697382536976</v>
      </c>
    </row>
    <row r="11" spans="3:5" x14ac:dyDescent="0.35">
      <c r="C11" s="4" t="s">
        <v>128</v>
      </c>
      <c r="D11" s="11">
        <f>SUM(D6:D10)</f>
        <v>21.689999999999998</v>
      </c>
      <c r="E11" s="17">
        <f ca="1">SUM(E6:E10)</f>
        <v>7.8385534616528902</v>
      </c>
    </row>
    <row r="12" spans="3:5" x14ac:dyDescent="0.35">
      <c r="C12" s="3" t="s">
        <v>129</v>
      </c>
      <c r="D12" s="7">
        <v>1.1299999999999999</v>
      </c>
      <c r="E12" s="9">
        <f>'[1]Summary ARR'!$E$12*(1+5%)^2</f>
        <v>2.8510649999999998E-4</v>
      </c>
    </row>
    <row r="13" spans="3:5" x14ac:dyDescent="0.35">
      <c r="C13" s="4" t="s">
        <v>130</v>
      </c>
      <c r="D13" s="11">
        <f t="shared" ref="D13" si="0">D11-D12</f>
        <v>20.56</v>
      </c>
      <c r="E13" s="17">
        <f ca="1">E11-E12</f>
        <v>7.8382683551528904</v>
      </c>
    </row>
    <row r="14" spans="3:5" x14ac:dyDescent="0.35">
      <c r="C14" s="34" t="s">
        <v>137</v>
      </c>
      <c r="D14" s="9">
        <v>0</v>
      </c>
      <c r="E14" s="9">
        <f>'[1]Summary ARR'!$E$15</f>
        <v>1.3867865026828872</v>
      </c>
    </row>
    <row r="15" spans="3:5" x14ac:dyDescent="0.35">
      <c r="C15" s="29" t="s">
        <v>138</v>
      </c>
      <c r="D15" s="17">
        <f t="shared" ref="D15:E15" si="1">D13+D14</f>
        <v>20.56</v>
      </c>
      <c r="E15" s="17">
        <f t="shared" ca="1" si="1"/>
        <v>9.2250548578357776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3"/>
  <sheetViews>
    <sheetView workbookViewId="0">
      <selection activeCell="C5" sqref="C5:F13"/>
    </sheetView>
  </sheetViews>
  <sheetFormatPr defaultRowHeight="14.5" x14ac:dyDescent="0.35"/>
  <cols>
    <col min="1" max="2" width="8.7265625" style="1"/>
    <col min="3" max="3" width="34.81640625" style="1" customWidth="1"/>
    <col min="4" max="5" width="9.453125" style="1" customWidth="1"/>
    <col min="6" max="16384" width="8.7265625" style="1"/>
  </cols>
  <sheetData>
    <row r="1" spans="3:6" x14ac:dyDescent="0.35">
      <c r="C1" s="30" t="s">
        <v>92</v>
      </c>
      <c r="D1" s="31">
        <v>5.7200000000000001E-2</v>
      </c>
    </row>
    <row r="5" spans="3:6" ht="29" x14ac:dyDescent="0.35">
      <c r="C5" s="13" t="s">
        <v>0</v>
      </c>
      <c r="D5" s="14" t="s">
        <v>102</v>
      </c>
      <c r="E5" s="14" t="s">
        <v>103</v>
      </c>
      <c r="F5" s="14" t="s">
        <v>104</v>
      </c>
    </row>
    <row r="6" spans="3:6" x14ac:dyDescent="0.35">
      <c r="C6" s="3" t="s">
        <v>40</v>
      </c>
      <c r="D6" s="9">
        <f>'[1]R&amp;M Expenses'!E6</f>
        <v>0</v>
      </c>
      <c r="E6" s="9">
        <f t="shared" ref="E6:F12" si="0">D6*(1+$D$1)</f>
        <v>0</v>
      </c>
      <c r="F6" s="9">
        <f t="shared" si="0"/>
        <v>0</v>
      </c>
    </row>
    <row r="7" spans="3:6" x14ac:dyDescent="0.35">
      <c r="C7" s="3" t="s">
        <v>38</v>
      </c>
      <c r="D7" s="9">
        <f>'[1]R&amp;M Expenses'!E7</f>
        <v>0</v>
      </c>
      <c r="E7" s="9">
        <f t="shared" si="0"/>
        <v>0</v>
      </c>
      <c r="F7" s="9">
        <f t="shared" si="0"/>
        <v>0</v>
      </c>
    </row>
    <row r="8" spans="3:6" x14ac:dyDescent="0.35">
      <c r="C8" s="3" t="s">
        <v>99</v>
      </c>
      <c r="D8" s="9">
        <f>'[1]R&amp;M Expenses'!E8</f>
        <v>0</v>
      </c>
      <c r="E8" s="9">
        <f t="shared" si="0"/>
        <v>0</v>
      </c>
      <c r="F8" s="9">
        <f t="shared" si="0"/>
        <v>0</v>
      </c>
    </row>
    <row r="9" spans="3:6" x14ac:dyDescent="0.35">
      <c r="C9" s="3" t="s">
        <v>100</v>
      </c>
      <c r="D9" s="9">
        <f>'[1]R&amp;M Expenses'!E9</f>
        <v>5.21521E-2</v>
      </c>
      <c r="E9" s="9">
        <f t="shared" si="0"/>
        <v>5.5135200119999998E-2</v>
      </c>
      <c r="F9" s="9">
        <f t="shared" si="0"/>
        <v>5.8288933566863994E-2</v>
      </c>
    </row>
    <row r="10" spans="3:6" x14ac:dyDescent="0.35">
      <c r="C10" s="3" t="s">
        <v>101</v>
      </c>
      <c r="D10" s="9">
        <f>'[1]R&amp;M Expenses'!E10</f>
        <v>0</v>
      </c>
      <c r="E10" s="9">
        <f t="shared" si="0"/>
        <v>0</v>
      </c>
      <c r="F10" s="9">
        <f t="shared" si="0"/>
        <v>0</v>
      </c>
    </row>
    <row r="11" spans="3:6" x14ac:dyDescent="0.35">
      <c r="C11" s="3" t="s">
        <v>53</v>
      </c>
      <c r="D11" s="9">
        <f>'[1]R&amp;M Expenses'!E11</f>
        <v>0</v>
      </c>
      <c r="E11" s="9">
        <f t="shared" si="0"/>
        <v>0</v>
      </c>
      <c r="F11" s="9">
        <f t="shared" si="0"/>
        <v>0</v>
      </c>
    </row>
    <row r="12" spans="3:6" x14ac:dyDescent="0.35">
      <c r="C12" s="3" t="s">
        <v>51</v>
      </c>
      <c r="D12" s="9">
        <f>'[1]R&amp;M Expenses'!E12</f>
        <v>0.87883683800000012</v>
      </c>
      <c r="E12" s="9">
        <f t="shared" si="0"/>
        <v>0.92910630513360004</v>
      </c>
      <c r="F12" s="9">
        <f t="shared" si="0"/>
        <v>0.98225118578724191</v>
      </c>
    </row>
    <row r="13" spans="3:6" x14ac:dyDescent="0.35">
      <c r="C13" s="4" t="s">
        <v>36</v>
      </c>
      <c r="D13" s="17">
        <f>SUM(D6:D12)</f>
        <v>0.93098893800000015</v>
      </c>
      <c r="E13" s="17">
        <f t="shared" ref="E13:F13" si="1">SUM(E6:E12)</f>
        <v>0.98424150525359999</v>
      </c>
      <c r="F13" s="17">
        <f t="shared" si="1"/>
        <v>1.040540119354106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3"/>
  <sheetViews>
    <sheetView topLeftCell="A9" workbookViewId="0">
      <selection activeCell="C5" sqref="C5:F23"/>
    </sheetView>
  </sheetViews>
  <sheetFormatPr defaultRowHeight="14.5" x14ac:dyDescent="0.35"/>
  <cols>
    <col min="1" max="2" width="8.7265625" style="1"/>
    <col min="3" max="3" width="35.453125" style="1" customWidth="1"/>
    <col min="4" max="4" width="8.7265625" style="1"/>
    <col min="5" max="5" width="9.6328125" style="1" customWidth="1"/>
    <col min="6" max="16384" width="8.7265625" style="1"/>
  </cols>
  <sheetData>
    <row r="1" spans="3:6" x14ac:dyDescent="0.35">
      <c r="C1" s="30" t="s">
        <v>92</v>
      </c>
      <c r="D1" s="31">
        <v>5.7200000000000001E-2</v>
      </c>
    </row>
    <row r="5" spans="3:6" ht="43.5" x14ac:dyDescent="0.35">
      <c r="C5" s="32" t="s">
        <v>0</v>
      </c>
      <c r="D5" s="14" t="s">
        <v>102</v>
      </c>
      <c r="E5" s="14" t="s">
        <v>103</v>
      </c>
      <c r="F5" s="14" t="s">
        <v>104</v>
      </c>
    </row>
    <row r="6" spans="3:6" x14ac:dyDescent="0.35">
      <c r="C6" s="5" t="s">
        <v>105</v>
      </c>
      <c r="D6" s="9">
        <f>'[1]A&amp;G Expenses'!E6</f>
        <v>2.7412999999999999E-3</v>
      </c>
      <c r="E6" s="9">
        <f t="shared" ref="E6:F22" si="0">D6*(1+$D$1)</f>
        <v>2.8981023599999995E-3</v>
      </c>
      <c r="F6" s="9">
        <f t="shared" si="0"/>
        <v>3.0638738149919992E-3</v>
      </c>
    </row>
    <row r="7" spans="3:6" x14ac:dyDescent="0.35">
      <c r="C7" s="5" t="s">
        <v>106</v>
      </c>
      <c r="D7" s="9">
        <f>'[1]A&amp;G Expenses'!E7</f>
        <v>0</v>
      </c>
      <c r="E7" s="9">
        <f t="shared" si="0"/>
        <v>0</v>
      </c>
      <c r="F7" s="9">
        <f t="shared" si="0"/>
        <v>0</v>
      </c>
    </row>
    <row r="8" spans="3:6" ht="29" x14ac:dyDescent="0.35">
      <c r="C8" s="5" t="s">
        <v>107</v>
      </c>
      <c r="D8" s="9">
        <f>'[1]A&amp;G Expenses'!E8</f>
        <v>6.3511999999999999E-2</v>
      </c>
      <c r="E8" s="9">
        <f t="shared" si="0"/>
        <v>6.7144886399999992E-2</v>
      </c>
      <c r="F8" s="9">
        <f t="shared" si="0"/>
        <v>7.098557390207999E-2</v>
      </c>
    </row>
    <row r="9" spans="3:6" ht="29" x14ac:dyDescent="0.35">
      <c r="C9" s="5" t="s">
        <v>108</v>
      </c>
      <c r="D9" s="9">
        <f>'[1]A&amp;G Expenses'!E9</f>
        <v>0.14437449999999999</v>
      </c>
      <c r="E9" s="9">
        <f t="shared" si="0"/>
        <v>0.15263272139999998</v>
      </c>
      <c r="F9" s="9">
        <f t="shared" si="0"/>
        <v>0.16136331306407997</v>
      </c>
    </row>
    <row r="10" spans="3:6" x14ac:dyDescent="0.35">
      <c r="C10" s="5" t="s">
        <v>109</v>
      </c>
      <c r="D10" s="9">
        <f>'[1]A&amp;G Expenses'!E10</f>
        <v>5.0495999999999996E-3</v>
      </c>
      <c r="E10" s="9">
        <f t="shared" si="0"/>
        <v>5.3384371199999992E-3</v>
      </c>
      <c r="F10" s="9">
        <f t="shared" si="0"/>
        <v>5.6437957232639991E-3</v>
      </c>
    </row>
    <row r="11" spans="3:6" x14ac:dyDescent="0.35">
      <c r="C11" s="5" t="s">
        <v>110</v>
      </c>
      <c r="D11" s="9">
        <f>'[1]A&amp;G Expenses'!E11</f>
        <v>0</v>
      </c>
      <c r="E11" s="9">
        <f t="shared" si="0"/>
        <v>0</v>
      </c>
      <c r="F11" s="9">
        <f t="shared" si="0"/>
        <v>0</v>
      </c>
    </row>
    <row r="12" spans="3:6" x14ac:dyDescent="0.35">
      <c r="C12" s="5" t="s">
        <v>111</v>
      </c>
      <c r="D12" s="9">
        <f>'[1]A&amp;G Expenses'!E12</f>
        <v>0</v>
      </c>
      <c r="E12" s="9">
        <f t="shared" si="0"/>
        <v>0</v>
      </c>
      <c r="F12" s="9">
        <f t="shared" si="0"/>
        <v>0</v>
      </c>
    </row>
    <row r="13" spans="3:6" x14ac:dyDescent="0.35">
      <c r="C13" s="5" t="s">
        <v>112</v>
      </c>
      <c r="D13" s="9">
        <f>'[1]A&amp;G Expenses'!E13</f>
        <v>0</v>
      </c>
      <c r="E13" s="9">
        <f t="shared" si="0"/>
        <v>0</v>
      </c>
      <c r="F13" s="9">
        <f t="shared" si="0"/>
        <v>0</v>
      </c>
    </row>
    <row r="14" spans="3:6" x14ac:dyDescent="0.35">
      <c r="C14" s="33" t="s">
        <v>113</v>
      </c>
      <c r="D14" s="9">
        <f>'[1]A&amp;G Expenses'!E14</f>
        <v>0</v>
      </c>
      <c r="E14" s="9">
        <f t="shared" si="0"/>
        <v>0</v>
      </c>
      <c r="F14" s="9">
        <f t="shared" si="0"/>
        <v>0</v>
      </c>
    </row>
    <row r="15" spans="3:6" x14ac:dyDescent="0.35">
      <c r="C15" s="5" t="s">
        <v>114</v>
      </c>
      <c r="D15" s="9">
        <f>'[1]A&amp;G Expenses'!E15</f>
        <v>1.18885E-2</v>
      </c>
      <c r="E15" s="9">
        <f t="shared" si="0"/>
        <v>1.25685222E-2</v>
      </c>
      <c r="F15" s="9">
        <f t="shared" si="0"/>
        <v>1.3287441669839998E-2</v>
      </c>
    </row>
    <row r="16" spans="3:6" ht="29" x14ac:dyDescent="0.35">
      <c r="C16" s="5" t="s">
        <v>115</v>
      </c>
      <c r="D16" s="9">
        <f>'[1]A&amp;G Expenses'!E16</f>
        <v>0</v>
      </c>
      <c r="E16" s="9">
        <f t="shared" si="0"/>
        <v>0</v>
      </c>
      <c r="F16" s="9">
        <f t="shared" si="0"/>
        <v>0</v>
      </c>
    </row>
    <row r="17" spans="3:6" x14ac:dyDescent="0.35">
      <c r="C17" s="5" t="s">
        <v>116</v>
      </c>
      <c r="D17" s="9">
        <f>'[1]A&amp;G Expenses'!E17</f>
        <v>0</v>
      </c>
      <c r="E17" s="9">
        <f t="shared" si="0"/>
        <v>0</v>
      </c>
      <c r="F17" s="9">
        <f t="shared" si="0"/>
        <v>0</v>
      </c>
    </row>
    <row r="18" spans="3:6" x14ac:dyDescent="0.35">
      <c r="C18" s="5" t="s">
        <v>117</v>
      </c>
      <c r="D18" s="9">
        <f>'[1]A&amp;G Expenses'!E18</f>
        <v>2.7186199999999999E-4</v>
      </c>
      <c r="E18" s="9">
        <f t="shared" si="0"/>
        <v>2.8741250639999997E-4</v>
      </c>
      <c r="F18" s="9">
        <f t="shared" si="0"/>
        <v>3.0385250176607993E-4</v>
      </c>
    </row>
    <row r="19" spans="3:6" x14ac:dyDescent="0.35">
      <c r="C19" s="5" t="s">
        <v>118</v>
      </c>
      <c r="D19" s="9">
        <f>'[1]A&amp;G Expenses'!E19</f>
        <v>5.72143E-4</v>
      </c>
      <c r="E19" s="9">
        <f t="shared" si="0"/>
        <v>6.0486957960000001E-4</v>
      </c>
      <c r="F19" s="9">
        <f t="shared" si="0"/>
        <v>6.3946811955311992E-4</v>
      </c>
    </row>
    <row r="20" spans="3:6" x14ac:dyDescent="0.35">
      <c r="C20" s="5" t="s">
        <v>119</v>
      </c>
      <c r="D20" s="9">
        <f>'[1]A&amp;G Expenses'!E20</f>
        <v>0</v>
      </c>
      <c r="E20" s="9">
        <f t="shared" si="0"/>
        <v>0</v>
      </c>
      <c r="F20" s="9">
        <f t="shared" si="0"/>
        <v>0</v>
      </c>
    </row>
    <row r="21" spans="3:6" x14ac:dyDescent="0.35">
      <c r="C21" s="5" t="s">
        <v>120</v>
      </c>
      <c r="D21" s="9">
        <f>'[1]A&amp;G Expenses'!E21</f>
        <v>0</v>
      </c>
      <c r="E21" s="9">
        <f t="shared" si="0"/>
        <v>0</v>
      </c>
      <c r="F21" s="9">
        <f t="shared" si="0"/>
        <v>0</v>
      </c>
    </row>
    <row r="22" spans="3:6" x14ac:dyDescent="0.35">
      <c r="C22" s="5" t="s">
        <v>121</v>
      </c>
      <c r="D22" s="9">
        <f>'[1]A&amp;G Expenses'!E22</f>
        <v>0</v>
      </c>
      <c r="E22" s="9">
        <f t="shared" si="0"/>
        <v>0</v>
      </c>
      <c r="F22" s="9">
        <f t="shared" si="0"/>
        <v>0</v>
      </c>
    </row>
    <row r="23" spans="3:6" x14ac:dyDescent="0.35">
      <c r="C23" s="16" t="s">
        <v>36</v>
      </c>
      <c r="D23" s="17">
        <f>SUM(D6:D22)</f>
        <v>0.22840990499999997</v>
      </c>
      <c r="E23" s="17">
        <f t="shared" ref="E23:F23" si="1">SUM(E6:E22)</f>
        <v>0.24147495156599996</v>
      </c>
      <c r="F23" s="17">
        <f t="shared" si="1"/>
        <v>0.25528731879557515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11"/>
  <sheetViews>
    <sheetView workbookViewId="0">
      <selection activeCell="C5" sqref="C5:D11"/>
    </sheetView>
  </sheetViews>
  <sheetFormatPr defaultRowHeight="14.5" x14ac:dyDescent="0.35"/>
  <cols>
    <col min="3" max="3" width="38.08984375" bestFit="1" customWidth="1"/>
  </cols>
  <sheetData>
    <row r="5" spans="3:4" ht="29" x14ac:dyDescent="0.35">
      <c r="C5" s="13" t="s">
        <v>0</v>
      </c>
      <c r="D5" s="14" t="s">
        <v>104</v>
      </c>
    </row>
    <row r="6" spans="3:4" x14ac:dyDescent="0.35">
      <c r="C6" s="3" t="s">
        <v>131</v>
      </c>
      <c r="D6" s="9">
        <f>'Operation and Maintenance Exp.'!E9/12</f>
        <v>0.40415450026916666</v>
      </c>
    </row>
    <row r="7" spans="3:4" x14ac:dyDescent="0.35">
      <c r="C7" s="3" t="s">
        <v>132</v>
      </c>
      <c r="D7" s="9">
        <f>'GFA and Funding Pattern'!F6*1%*(1+6%)^2</f>
        <v>0.62260102637167225</v>
      </c>
    </row>
    <row r="8" spans="3:4" x14ac:dyDescent="0.35">
      <c r="C8" s="3" t="s">
        <v>133</v>
      </c>
      <c r="D8" s="9">
        <f ca="1">'Summary ARR'!E13/12*2</f>
        <v>1.3063780591921483</v>
      </c>
    </row>
    <row r="9" spans="3:4" x14ac:dyDescent="0.35">
      <c r="C9" s="4" t="s">
        <v>134</v>
      </c>
      <c r="D9" s="17">
        <f ca="1">SUM(D6:D8)</f>
        <v>2.3331335858329876</v>
      </c>
    </row>
    <row r="10" spans="3:4" x14ac:dyDescent="0.35">
      <c r="C10" s="3" t="s">
        <v>135</v>
      </c>
      <c r="D10" s="24">
        <v>0.1515</v>
      </c>
    </row>
    <row r="11" spans="3:4" x14ac:dyDescent="0.35">
      <c r="C11" s="4" t="s">
        <v>127</v>
      </c>
      <c r="D11" s="17">
        <f ca="1">D9*D10</f>
        <v>0.3534697382536976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1" sqref="J11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8"/>
  <sheetViews>
    <sheetView workbookViewId="0">
      <selection activeCell="F9" sqref="F9"/>
    </sheetView>
  </sheetViews>
  <sheetFormatPr defaultRowHeight="14.5" x14ac:dyDescent="0.35"/>
  <cols>
    <col min="1" max="2" width="8.7265625" style="1"/>
    <col min="3" max="3" width="34.81640625" style="1" customWidth="1"/>
    <col min="4" max="4" width="11.81640625" style="1" customWidth="1"/>
    <col min="5" max="5" width="12.08984375" style="1" customWidth="1"/>
    <col min="6" max="6" width="9.7265625" style="1" customWidth="1"/>
    <col min="7" max="16384" width="8.7265625" style="1"/>
  </cols>
  <sheetData>
    <row r="5" spans="3:6" ht="43.5" x14ac:dyDescent="0.35">
      <c r="C5" s="13" t="s">
        <v>0</v>
      </c>
      <c r="D5" s="14" t="s">
        <v>1</v>
      </c>
      <c r="E5" s="14" t="s">
        <v>13</v>
      </c>
      <c r="F5" s="14" t="s">
        <v>14</v>
      </c>
    </row>
    <row r="6" spans="3:6" x14ac:dyDescent="0.35">
      <c r="C6" s="3" t="s">
        <v>2</v>
      </c>
      <c r="D6" s="9">
        <f>'[1]GFA and Grants'!E6</f>
        <v>16.283380772000001</v>
      </c>
      <c r="E6" s="9">
        <f>D9</f>
        <v>16.291269702000001</v>
      </c>
      <c r="F6" s="9">
        <f>E9</f>
        <v>55.411269702000006</v>
      </c>
    </row>
    <row r="7" spans="3:6" x14ac:dyDescent="0.35">
      <c r="C7" s="3" t="s">
        <v>3</v>
      </c>
      <c r="D7" s="9">
        <f>'[1]GFA and Grants'!E7</f>
        <v>1.44403E-2</v>
      </c>
      <c r="E7" s="9">
        <f>'Capitalization Details (Scheme)'!D19</f>
        <v>39.120000000000005</v>
      </c>
      <c r="F7" s="9">
        <f>'Capitalization Details (Scheme)'!D20</f>
        <v>56.56</v>
      </c>
    </row>
    <row r="8" spans="3:6" x14ac:dyDescent="0.35">
      <c r="C8" s="3" t="s">
        <v>4</v>
      </c>
      <c r="D8" s="9">
        <f>'[1]GFA and Grants'!E8</f>
        <v>6.5513699999999999E-3</v>
      </c>
      <c r="E8" s="9">
        <v>0</v>
      </c>
      <c r="F8" s="9">
        <v>0</v>
      </c>
    </row>
    <row r="9" spans="3:6" x14ac:dyDescent="0.35">
      <c r="C9" s="4" t="s">
        <v>5</v>
      </c>
      <c r="D9" s="17">
        <f>D6+D7-D8</f>
        <v>16.291269702000001</v>
      </c>
      <c r="E9" s="17">
        <f t="shared" ref="E9:F9" si="0">E6+E7-E8</f>
        <v>55.411269702000006</v>
      </c>
      <c r="F9" s="17">
        <f t="shared" si="0"/>
        <v>111.971269702</v>
      </c>
    </row>
    <row r="10" spans="3:6" x14ac:dyDescent="0.35">
      <c r="C10" s="4" t="s">
        <v>6</v>
      </c>
      <c r="D10" s="17">
        <f>AVERAGE(D6,D9)</f>
        <v>16.287325237000001</v>
      </c>
      <c r="E10" s="17">
        <f t="shared" ref="E10:F10" si="1">AVERAGE(E6,E9)</f>
        <v>35.851269702000003</v>
      </c>
      <c r="F10" s="17">
        <f t="shared" si="1"/>
        <v>83.691269702</v>
      </c>
    </row>
    <row r="11" spans="3:6" x14ac:dyDescent="0.35">
      <c r="C11" s="3"/>
      <c r="D11" s="7"/>
      <c r="E11" s="7"/>
      <c r="F11" s="7"/>
    </row>
    <row r="12" spans="3:6" x14ac:dyDescent="0.35">
      <c r="C12" s="3" t="s">
        <v>7</v>
      </c>
      <c r="D12" s="9">
        <v>0</v>
      </c>
      <c r="E12" s="9">
        <f>D14</f>
        <v>0</v>
      </c>
      <c r="F12" s="9">
        <f>E14</f>
        <v>37.29</v>
      </c>
    </row>
    <row r="13" spans="3:6" x14ac:dyDescent="0.35">
      <c r="C13" s="4" t="s">
        <v>8</v>
      </c>
      <c r="D13" s="17">
        <v>0</v>
      </c>
      <c r="E13" s="17">
        <f>'Capitalization Details (Scheme)'!E19</f>
        <v>37.29</v>
      </c>
      <c r="F13" s="17">
        <f>'Capitalization Details (Scheme)'!E20</f>
        <v>55.35</v>
      </c>
    </row>
    <row r="14" spans="3:6" x14ac:dyDescent="0.35">
      <c r="C14" s="4" t="s">
        <v>9</v>
      </c>
      <c r="D14" s="17">
        <f>D12+D13</f>
        <v>0</v>
      </c>
      <c r="E14" s="17">
        <f t="shared" ref="E14:F14" si="2">E12+E13</f>
        <v>37.29</v>
      </c>
      <c r="F14" s="17">
        <f t="shared" si="2"/>
        <v>92.64</v>
      </c>
    </row>
    <row r="15" spans="3:6" x14ac:dyDescent="0.35">
      <c r="C15" s="4" t="s">
        <v>10</v>
      </c>
      <c r="D15" s="17">
        <f>AVERAGE(D12,D14)</f>
        <v>0</v>
      </c>
      <c r="E15" s="17">
        <f t="shared" ref="E15:F15" si="3">AVERAGE(E12,E14)</f>
        <v>18.645</v>
      </c>
      <c r="F15" s="17">
        <f t="shared" si="3"/>
        <v>64.965000000000003</v>
      </c>
    </row>
    <row r="16" spans="3:6" x14ac:dyDescent="0.35">
      <c r="C16" s="3"/>
      <c r="D16" s="7"/>
      <c r="E16" s="7"/>
      <c r="F16" s="7"/>
    </row>
    <row r="17" spans="3:6" x14ac:dyDescent="0.35">
      <c r="C17" s="4" t="s">
        <v>11</v>
      </c>
      <c r="D17" s="17">
        <f>((D7)-D13)*70%</f>
        <v>1.0108209999999999E-2</v>
      </c>
      <c r="E17" s="17">
        <f t="shared" ref="E17:F17" si="4">((E7)-E13)*70%</f>
        <v>1.2810000000000037</v>
      </c>
      <c r="F17" s="17">
        <f t="shared" si="4"/>
        <v>0.84700000000000053</v>
      </c>
    </row>
    <row r="18" spans="3:6" x14ac:dyDescent="0.35">
      <c r="C18" s="4" t="s">
        <v>12</v>
      </c>
      <c r="D18" s="17">
        <f>((D7)-D13)*30%</f>
        <v>4.3320899999999994E-3</v>
      </c>
      <c r="E18" s="17">
        <f t="shared" ref="E18:F18" si="5">((E7)-E13)*30%</f>
        <v>0.5490000000000016</v>
      </c>
      <c r="F18" s="17">
        <f t="shared" si="5"/>
        <v>0.36300000000000027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I45"/>
  <sheetViews>
    <sheetView topLeftCell="A10" workbookViewId="0">
      <selection activeCell="G18" sqref="G18"/>
    </sheetView>
  </sheetViews>
  <sheetFormatPr defaultRowHeight="14.5" x14ac:dyDescent="0.35"/>
  <cols>
    <col min="1" max="2" width="8.7265625" style="1"/>
    <col min="3" max="3" width="21.08984375" style="2" customWidth="1"/>
    <col min="4" max="4" width="13.7265625" style="1" customWidth="1"/>
    <col min="5" max="5" width="12.81640625" style="1" customWidth="1"/>
    <col min="6" max="6" width="10.7265625" style="1" customWidth="1"/>
    <col min="7" max="7" width="10.7265625" style="1" bestFit="1" customWidth="1"/>
    <col min="8" max="8" width="9.7265625" style="1" customWidth="1"/>
    <col min="9" max="9" width="18.6328125" style="1" bestFit="1" customWidth="1"/>
    <col min="10" max="16384" width="8.7265625" style="1"/>
  </cols>
  <sheetData>
    <row r="5" spans="3:9" ht="61.5" customHeight="1" x14ac:dyDescent="0.35">
      <c r="C5" s="19" t="s">
        <v>15</v>
      </c>
      <c r="D5" s="14" t="s">
        <v>16</v>
      </c>
      <c r="E5" s="14" t="s">
        <v>17</v>
      </c>
      <c r="F5" s="14" t="s">
        <v>18</v>
      </c>
      <c r="G5" s="18" t="s">
        <v>19</v>
      </c>
      <c r="H5" s="14" t="s">
        <v>20</v>
      </c>
      <c r="I5" s="14" t="s">
        <v>37</v>
      </c>
    </row>
    <row r="6" spans="3:9" ht="29" x14ac:dyDescent="0.35">
      <c r="C6" s="5" t="s">
        <v>21</v>
      </c>
      <c r="D6" s="7" t="s">
        <v>22</v>
      </c>
      <c r="E6" s="7" t="s">
        <v>22</v>
      </c>
      <c r="F6" s="9">
        <v>17.579999999999998</v>
      </c>
      <c r="G6" s="9">
        <v>15.82</v>
      </c>
      <c r="H6" s="9">
        <f>F6-G6</f>
        <v>1.759999999999998</v>
      </c>
      <c r="I6" s="3" t="s">
        <v>51</v>
      </c>
    </row>
    <row r="7" spans="3:9" ht="58" x14ac:dyDescent="0.35">
      <c r="C7" s="5" t="s">
        <v>23</v>
      </c>
      <c r="D7" s="7" t="s">
        <v>22</v>
      </c>
      <c r="E7" s="7" t="s">
        <v>22</v>
      </c>
      <c r="F7" s="9">
        <v>5.52</v>
      </c>
      <c r="G7" s="9">
        <v>5.52</v>
      </c>
      <c r="H7" s="9">
        <f t="shared" ref="H7:H14" si="0">F7-G7</f>
        <v>0</v>
      </c>
      <c r="I7" s="3" t="s">
        <v>39</v>
      </c>
    </row>
    <row r="8" spans="3:9" ht="29" x14ac:dyDescent="0.35">
      <c r="C8" s="5" t="s">
        <v>24</v>
      </c>
      <c r="D8" s="7" t="s">
        <v>25</v>
      </c>
      <c r="E8" s="7" t="s">
        <v>22</v>
      </c>
      <c r="F8" s="9">
        <v>0.32</v>
      </c>
      <c r="G8" s="9">
        <v>0.32</v>
      </c>
      <c r="H8" s="9">
        <f t="shared" si="0"/>
        <v>0</v>
      </c>
      <c r="I8" s="3" t="s">
        <v>51</v>
      </c>
    </row>
    <row r="9" spans="3:9" ht="43.5" x14ac:dyDescent="0.35">
      <c r="C9" s="5" t="s">
        <v>26</v>
      </c>
      <c r="D9" s="7" t="s">
        <v>22</v>
      </c>
      <c r="E9" s="7" t="s">
        <v>22</v>
      </c>
      <c r="F9" s="9">
        <v>15</v>
      </c>
      <c r="G9" s="9">
        <v>15</v>
      </c>
      <c r="H9" s="9">
        <f t="shared" si="0"/>
        <v>0</v>
      </c>
      <c r="I9" s="3" t="s">
        <v>51</v>
      </c>
    </row>
    <row r="10" spans="3:9" x14ac:dyDescent="0.35">
      <c r="C10" s="5" t="s">
        <v>27</v>
      </c>
      <c r="D10" s="7" t="s">
        <v>25</v>
      </c>
      <c r="E10" s="7" t="s">
        <v>22</v>
      </c>
      <c r="F10" s="9">
        <v>0.7</v>
      </c>
      <c r="G10" s="9">
        <v>0.63</v>
      </c>
      <c r="H10" s="9">
        <f t="shared" si="0"/>
        <v>6.9999999999999951E-2</v>
      </c>
      <c r="I10" s="3" t="s">
        <v>51</v>
      </c>
    </row>
    <row r="11" spans="3:9" ht="29" x14ac:dyDescent="0.35">
      <c r="C11" s="5" t="s">
        <v>28</v>
      </c>
      <c r="D11" s="7" t="s">
        <v>29</v>
      </c>
      <c r="E11" s="7" t="s">
        <v>29</v>
      </c>
      <c r="F11" s="9">
        <v>6.6</v>
      </c>
      <c r="G11" s="9">
        <v>5.94</v>
      </c>
      <c r="H11" s="9">
        <f t="shared" si="0"/>
        <v>0.65999999999999925</v>
      </c>
      <c r="I11" s="3" t="s">
        <v>51</v>
      </c>
    </row>
    <row r="12" spans="3:9" x14ac:dyDescent="0.35">
      <c r="C12" s="5" t="s">
        <v>30</v>
      </c>
      <c r="D12" s="7" t="s">
        <v>29</v>
      </c>
      <c r="E12" s="7" t="s">
        <v>29</v>
      </c>
      <c r="F12" s="9">
        <v>2</v>
      </c>
      <c r="G12" s="9">
        <v>1.8</v>
      </c>
      <c r="H12" s="9">
        <f t="shared" si="0"/>
        <v>0.19999999999999996</v>
      </c>
      <c r="I12" s="3" t="s">
        <v>40</v>
      </c>
    </row>
    <row r="13" spans="3:9" ht="29" x14ac:dyDescent="0.35">
      <c r="C13" s="5" t="s">
        <v>31</v>
      </c>
      <c r="D13" s="7" t="s">
        <v>29</v>
      </c>
      <c r="E13" s="7" t="s">
        <v>29</v>
      </c>
      <c r="F13" s="9">
        <v>3.5</v>
      </c>
      <c r="G13" s="9">
        <v>3.15</v>
      </c>
      <c r="H13" s="9">
        <f t="shared" si="0"/>
        <v>0.35000000000000009</v>
      </c>
      <c r="I13" s="3" t="s">
        <v>40</v>
      </c>
    </row>
    <row r="14" spans="3:9" ht="43.5" x14ac:dyDescent="0.35">
      <c r="C14" s="5" t="s">
        <v>32</v>
      </c>
      <c r="D14" s="7" t="s">
        <v>29</v>
      </c>
      <c r="E14" s="7" t="s">
        <v>29</v>
      </c>
      <c r="F14" s="9">
        <v>44.46</v>
      </c>
      <c r="G14" s="9">
        <v>44.46</v>
      </c>
      <c r="H14" s="9">
        <f t="shared" si="0"/>
        <v>0</v>
      </c>
      <c r="I14" s="3" t="s">
        <v>51</v>
      </c>
    </row>
    <row r="15" spans="3:9" x14ac:dyDescent="0.35">
      <c r="C15" s="16" t="s">
        <v>36</v>
      </c>
      <c r="D15" s="4"/>
      <c r="E15" s="4"/>
      <c r="F15" s="17">
        <f t="shared" ref="F15:H15" si="1">SUM(F6:F14)</f>
        <v>95.68</v>
      </c>
      <c r="G15" s="17">
        <f t="shared" si="1"/>
        <v>92.639999999999986</v>
      </c>
      <c r="H15" s="17">
        <f t="shared" si="1"/>
        <v>3.0399999999999969</v>
      </c>
      <c r="I15" s="3"/>
    </row>
    <row r="18" spans="3:7" ht="58" x14ac:dyDescent="0.35">
      <c r="C18" s="15" t="s">
        <v>33</v>
      </c>
      <c r="D18" s="12" t="s">
        <v>34</v>
      </c>
      <c r="E18" s="12" t="s">
        <v>35</v>
      </c>
    </row>
    <row r="19" spans="3:7" x14ac:dyDescent="0.35">
      <c r="C19" s="5" t="s">
        <v>22</v>
      </c>
      <c r="D19" s="7">
        <f>SUMIF($E6:$E14,$C19,F6:F14)</f>
        <v>39.120000000000005</v>
      </c>
      <c r="E19" s="7">
        <f>SUMIF($E6:$E14,$C19,G6:G14)</f>
        <v>37.29</v>
      </c>
    </row>
    <row r="20" spans="3:7" x14ac:dyDescent="0.35">
      <c r="C20" s="5" t="s">
        <v>29</v>
      </c>
      <c r="D20" s="7">
        <f>SUMIF($E6:$E14,$C20,F6:F14)</f>
        <v>56.56</v>
      </c>
      <c r="E20" s="7">
        <f>SUMIF($E6:$E14,$C20,G6:G14)</f>
        <v>55.35</v>
      </c>
    </row>
    <row r="21" spans="3:7" x14ac:dyDescent="0.35">
      <c r="C21" s="16" t="s">
        <v>36</v>
      </c>
      <c r="D21" s="11">
        <f t="shared" ref="D21:E21" si="2">SUM(D19:D20)</f>
        <v>95.68</v>
      </c>
      <c r="E21" s="11">
        <f t="shared" si="2"/>
        <v>92.64</v>
      </c>
    </row>
    <row r="28" spans="3:7" x14ac:dyDescent="0.35">
      <c r="C28" s="1"/>
      <c r="G28"/>
    </row>
    <row r="29" spans="3:7" x14ac:dyDescent="0.35">
      <c r="C29" s="20" t="s">
        <v>37</v>
      </c>
      <c r="D29" s="7" t="s">
        <v>22</v>
      </c>
      <c r="E29" s="7" t="s">
        <v>29</v>
      </c>
      <c r="F29" s="7" t="s">
        <v>58</v>
      </c>
      <c r="G29"/>
    </row>
    <row r="30" spans="3:7" x14ac:dyDescent="0.35">
      <c r="C30" s="8" t="s">
        <v>40</v>
      </c>
      <c r="D30" s="21"/>
      <c r="E30" s="21">
        <v>5.5</v>
      </c>
      <c r="F30" s="21">
        <v>5.5</v>
      </c>
      <c r="G30"/>
    </row>
    <row r="31" spans="3:7" x14ac:dyDescent="0.35">
      <c r="C31" s="8" t="s">
        <v>51</v>
      </c>
      <c r="D31" s="21">
        <v>33.6</v>
      </c>
      <c r="E31" s="21">
        <v>51.06</v>
      </c>
      <c r="F31" s="21">
        <v>84.66</v>
      </c>
      <c r="G31"/>
    </row>
    <row r="32" spans="3:7" x14ac:dyDescent="0.35">
      <c r="C32" s="8" t="s">
        <v>39</v>
      </c>
      <c r="D32" s="21">
        <v>5.52</v>
      </c>
      <c r="E32" s="21"/>
      <c r="F32" s="21">
        <v>5.52</v>
      </c>
      <c r="G32"/>
    </row>
    <row r="33" spans="3:7" x14ac:dyDescent="0.35">
      <c r="C33" s="22" t="s">
        <v>58</v>
      </c>
      <c r="D33" s="21">
        <v>39.120000000000005</v>
      </c>
      <c r="E33" s="21">
        <v>56.56</v>
      </c>
      <c r="F33" s="21">
        <v>95.679999999999993</v>
      </c>
      <c r="G33"/>
    </row>
    <row r="34" spans="3:7" x14ac:dyDescent="0.35">
      <c r="C34"/>
      <c r="D34"/>
      <c r="E34"/>
      <c r="F34"/>
      <c r="G34"/>
    </row>
    <row r="35" spans="3:7" x14ac:dyDescent="0.35">
      <c r="C35"/>
      <c r="D35"/>
      <c r="E35"/>
    </row>
    <row r="36" spans="3:7" x14ac:dyDescent="0.35">
      <c r="C36"/>
      <c r="D36"/>
      <c r="E36"/>
    </row>
    <row r="37" spans="3:7" x14ac:dyDescent="0.35">
      <c r="C37"/>
      <c r="D37"/>
      <c r="E37"/>
    </row>
    <row r="38" spans="3:7" x14ac:dyDescent="0.35">
      <c r="C38"/>
      <c r="D38"/>
      <c r="E38"/>
    </row>
    <row r="39" spans="3:7" x14ac:dyDescent="0.35">
      <c r="C39"/>
      <c r="D39"/>
      <c r="E39"/>
    </row>
    <row r="40" spans="3:7" x14ac:dyDescent="0.35">
      <c r="C40"/>
      <c r="D40"/>
      <c r="E40"/>
    </row>
    <row r="41" spans="3:7" x14ac:dyDescent="0.35">
      <c r="C41"/>
      <c r="D41"/>
      <c r="E41"/>
    </row>
    <row r="42" spans="3:7" x14ac:dyDescent="0.35">
      <c r="C42"/>
      <c r="D42"/>
      <c r="E42"/>
    </row>
    <row r="43" spans="3:7" x14ac:dyDescent="0.35">
      <c r="C43"/>
      <c r="D43"/>
      <c r="E43"/>
    </row>
    <row r="44" spans="3:7" x14ac:dyDescent="0.35">
      <c r="C44"/>
      <c r="D44"/>
      <c r="E44"/>
    </row>
    <row r="45" spans="3:7" x14ac:dyDescent="0.35">
      <c r="C45"/>
      <c r="D45"/>
      <c r="E4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20"/>
  <sheetViews>
    <sheetView topLeftCell="A3" workbookViewId="0">
      <selection activeCell="H16" sqref="H16"/>
    </sheetView>
  </sheetViews>
  <sheetFormatPr defaultRowHeight="14.5" x14ac:dyDescent="0.35"/>
  <cols>
    <col min="1" max="2" width="8.7265625" style="1"/>
    <col min="3" max="3" width="35.26953125" style="1" customWidth="1"/>
    <col min="4" max="4" width="12" style="1" bestFit="1" customWidth="1"/>
    <col min="5" max="5" width="13.26953125" style="1" customWidth="1"/>
    <col min="6" max="6" width="9.6328125" style="1" customWidth="1"/>
    <col min="7" max="8" width="11.90625" style="1" bestFit="1" customWidth="1"/>
    <col min="9" max="9" width="13.1796875" style="1" customWidth="1"/>
    <col min="10" max="10" width="12.26953125" style="1" customWidth="1"/>
    <col min="11" max="11" width="11.6328125" style="1" bestFit="1" customWidth="1"/>
    <col min="12" max="16384" width="8.7265625" style="1"/>
  </cols>
  <sheetData>
    <row r="5" spans="3:11" ht="29" x14ac:dyDescent="0.35">
      <c r="C5" s="3" t="s">
        <v>0</v>
      </c>
      <c r="D5" s="3" t="s">
        <v>2</v>
      </c>
      <c r="E5" s="7" t="s">
        <v>76</v>
      </c>
      <c r="F5" s="7" t="s">
        <v>82</v>
      </c>
      <c r="G5" s="3" t="s">
        <v>5</v>
      </c>
      <c r="H5" s="3" t="s">
        <v>6</v>
      </c>
      <c r="I5" s="6" t="s">
        <v>48</v>
      </c>
      <c r="J5" s="6" t="s">
        <v>49</v>
      </c>
      <c r="K5" s="3" t="s">
        <v>83</v>
      </c>
    </row>
    <row r="6" spans="3:11" x14ac:dyDescent="0.35">
      <c r="C6" s="3" t="s">
        <v>52</v>
      </c>
      <c r="D6" s="9">
        <f>[1]Depreciation!D6</f>
        <v>0</v>
      </c>
      <c r="E6" s="9">
        <f>Depreciation!E5</f>
        <v>0</v>
      </c>
      <c r="F6" s="9">
        <v>0</v>
      </c>
      <c r="G6" s="9">
        <f t="shared" ref="G6:G14" si="0">D6+E6-F6</f>
        <v>0</v>
      </c>
      <c r="H6" s="9">
        <f t="shared" ref="H6:H14" si="1">AVERAGE(D6,G6)</f>
        <v>0</v>
      </c>
      <c r="I6" s="9">
        <f t="shared" ref="I6:I14" si="2">90%*H6</f>
        <v>0</v>
      </c>
      <c r="J6" s="24">
        <f>Depreciation!L5</f>
        <v>0</v>
      </c>
      <c r="K6" s="9">
        <f t="shared" ref="K6:K15" si="3">I6*J6</f>
        <v>0</v>
      </c>
    </row>
    <row r="7" spans="3:11" x14ac:dyDescent="0.35">
      <c r="C7" s="3" t="s">
        <v>40</v>
      </c>
      <c r="D7" s="9">
        <f>[1]Depreciation!D7</f>
        <v>0.87586136400000003</v>
      </c>
      <c r="E7" s="9">
        <f>Depreciation!E6</f>
        <v>0</v>
      </c>
      <c r="F7" s="9">
        <v>0</v>
      </c>
      <c r="G7" s="9">
        <f t="shared" si="0"/>
        <v>0.87586136400000003</v>
      </c>
      <c r="H7" s="9">
        <f t="shared" si="1"/>
        <v>0.87586136400000003</v>
      </c>
      <c r="I7" s="9">
        <f t="shared" si="2"/>
        <v>0.78827522760000002</v>
      </c>
      <c r="J7" s="24">
        <f>Depreciation!L6</f>
        <v>3.3399999999999999E-2</v>
      </c>
      <c r="K7" s="9">
        <f t="shared" si="3"/>
        <v>2.6328392601840001E-2</v>
      </c>
    </row>
    <row r="8" spans="3:11" x14ac:dyDescent="0.35">
      <c r="C8" s="3" t="s">
        <v>39</v>
      </c>
      <c r="D8" s="9">
        <f>[1]Depreciation!D8</f>
        <v>8.3150000000000002E-2</v>
      </c>
      <c r="E8" s="9">
        <f>Depreciation!E7</f>
        <v>5.52</v>
      </c>
      <c r="F8" s="9">
        <v>0</v>
      </c>
      <c r="G8" s="9">
        <f t="shared" si="0"/>
        <v>5.6031499999999994</v>
      </c>
      <c r="H8" s="9">
        <f t="shared" si="1"/>
        <v>2.8431499999999996</v>
      </c>
      <c r="I8" s="9">
        <f t="shared" si="2"/>
        <v>2.5588349999999997</v>
      </c>
      <c r="J8" s="24">
        <f>Depreciation!L7</f>
        <v>5.28E-2</v>
      </c>
      <c r="K8" s="9">
        <f t="shared" si="3"/>
        <v>0.135106488</v>
      </c>
    </row>
    <row r="9" spans="3:11" x14ac:dyDescent="0.35">
      <c r="C9" s="3" t="s">
        <v>53</v>
      </c>
      <c r="D9" s="9">
        <f>[1]Depreciation!D9</f>
        <v>0</v>
      </c>
      <c r="E9" s="9">
        <f>Depreciation!E8</f>
        <v>0</v>
      </c>
      <c r="F9" s="9">
        <v>0</v>
      </c>
      <c r="G9" s="9">
        <f t="shared" si="0"/>
        <v>0</v>
      </c>
      <c r="H9" s="9">
        <f t="shared" si="1"/>
        <v>0</v>
      </c>
      <c r="I9" s="9">
        <f t="shared" si="2"/>
        <v>0</v>
      </c>
      <c r="J9" s="24">
        <f>Depreciation!L8</f>
        <v>6.3299999999999995E-2</v>
      </c>
      <c r="K9" s="9">
        <f t="shared" si="3"/>
        <v>0</v>
      </c>
    </row>
    <row r="10" spans="3:11" x14ac:dyDescent="0.35">
      <c r="C10" s="3" t="s">
        <v>54</v>
      </c>
      <c r="D10" s="9">
        <f>[1]Depreciation!D10</f>
        <v>0</v>
      </c>
      <c r="E10" s="9">
        <f>Depreciation!E9</f>
        <v>0</v>
      </c>
      <c r="F10" s="9">
        <v>0</v>
      </c>
      <c r="G10" s="9">
        <f t="shared" si="0"/>
        <v>0</v>
      </c>
      <c r="H10" s="9">
        <f t="shared" si="1"/>
        <v>0</v>
      </c>
      <c r="I10" s="9">
        <f t="shared" si="2"/>
        <v>0</v>
      </c>
      <c r="J10" s="24">
        <f>Depreciation!L9</f>
        <v>9.5000000000000001E-2</v>
      </c>
      <c r="K10" s="9">
        <f t="shared" si="3"/>
        <v>0</v>
      </c>
    </row>
    <row r="11" spans="3:11" x14ac:dyDescent="0.35">
      <c r="C11" s="3" t="s">
        <v>51</v>
      </c>
      <c r="D11" s="9">
        <f>[1]Depreciation!D11</f>
        <v>6.5157897579999995</v>
      </c>
      <c r="E11" s="9">
        <f>Depreciation!E10</f>
        <v>33.6</v>
      </c>
      <c r="F11" s="9">
        <v>0</v>
      </c>
      <c r="G11" s="9">
        <f t="shared" si="0"/>
        <v>40.115789757999998</v>
      </c>
      <c r="H11" s="9">
        <f t="shared" si="1"/>
        <v>23.315789757999998</v>
      </c>
      <c r="I11" s="9">
        <f t="shared" si="2"/>
        <v>20.984210782199998</v>
      </c>
      <c r="J11" s="24">
        <f>Depreciation!L10</f>
        <v>6.3299999999999995E-2</v>
      </c>
      <c r="K11" s="9">
        <f t="shared" si="3"/>
        <v>1.3283005425132597</v>
      </c>
    </row>
    <row r="12" spans="3:11" x14ac:dyDescent="0.35">
      <c r="C12" s="3" t="s">
        <v>55</v>
      </c>
      <c r="D12" s="9">
        <f>[1]Depreciation!D12</f>
        <v>0</v>
      </c>
      <c r="E12" s="9">
        <f>Depreciation!E11</f>
        <v>0</v>
      </c>
      <c r="F12" s="9">
        <v>0</v>
      </c>
      <c r="G12" s="9">
        <f t="shared" si="0"/>
        <v>0</v>
      </c>
      <c r="H12" s="9">
        <f t="shared" si="1"/>
        <v>0</v>
      </c>
      <c r="I12" s="9">
        <f t="shared" si="2"/>
        <v>0</v>
      </c>
      <c r="J12" s="24">
        <f>Depreciation!L11</f>
        <v>5.28E-2</v>
      </c>
      <c r="K12" s="9">
        <f t="shared" si="3"/>
        <v>0</v>
      </c>
    </row>
    <row r="13" spans="3:11" x14ac:dyDescent="0.35">
      <c r="C13" s="3" t="s">
        <v>56</v>
      </c>
      <c r="D13" s="9">
        <f>[1]Depreciation!D13</f>
        <v>0</v>
      </c>
      <c r="E13" s="9">
        <f>Depreciation!E12</f>
        <v>0</v>
      </c>
      <c r="F13" s="9">
        <v>0</v>
      </c>
      <c r="G13" s="9">
        <f t="shared" si="0"/>
        <v>0</v>
      </c>
      <c r="H13" s="9">
        <f t="shared" si="1"/>
        <v>0</v>
      </c>
      <c r="I13" s="9">
        <f t="shared" si="2"/>
        <v>0</v>
      </c>
      <c r="J13" s="24">
        <f>Depreciation!L12</f>
        <v>3.3399999999999999E-2</v>
      </c>
      <c r="K13" s="9">
        <f t="shared" si="3"/>
        <v>0</v>
      </c>
    </row>
    <row r="14" spans="3:11" x14ac:dyDescent="0.35">
      <c r="C14" s="3" t="s">
        <v>57</v>
      </c>
      <c r="D14" s="9">
        <f>[1]Depreciation!D14</f>
        <v>3.1564999999999999</v>
      </c>
      <c r="E14" s="9">
        <f>Depreciation!E13</f>
        <v>0</v>
      </c>
      <c r="F14" s="9">
        <v>0</v>
      </c>
      <c r="G14" s="9">
        <f t="shared" si="0"/>
        <v>3.1564999999999999</v>
      </c>
      <c r="H14" s="9">
        <f t="shared" si="1"/>
        <v>3.1564999999999999</v>
      </c>
      <c r="I14" s="9">
        <f t="shared" si="2"/>
        <v>2.8408500000000001</v>
      </c>
      <c r="J14" s="24">
        <f>Depreciation!L13</f>
        <v>5.28E-2</v>
      </c>
      <c r="K14" s="9">
        <f t="shared" si="3"/>
        <v>0.14999688</v>
      </c>
    </row>
    <row r="15" spans="3:11" x14ac:dyDescent="0.35">
      <c r="C15" s="3" t="s">
        <v>141</v>
      </c>
      <c r="D15" s="9">
        <f>[1]Depreciation!D15</f>
        <v>5.6520796500000001</v>
      </c>
      <c r="E15" s="9">
        <v>0</v>
      </c>
      <c r="F15" s="9">
        <v>0</v>
      </c>
      <c r="G15" s="9">
        <f t="shared" ref="G15" si="4">D15+E15-F15</f>
        <v>5.6520796500000001</v>
      </c>
      <c r="H15" s="9">
        <f t="shared" ref="H15" si="5">AVERAGE(D15,G15)</f>
        <v>5.6520796500000001</v>
      </c>
      <c r="I15" s="9">
        <f t="shared" ref="I15" si="6">90%*H15</f>
        <v>5.0868716850000002</v>
      </c>
      <c r="J15" s="24">
        <v>0.15</v>
      </c>
      <c r="K15" s="9">
        <f t="shared" si="3"/>
        <v>0.76303075274999999</v>
      </c>
    </row>
    <row r="16" spans="3:11" x14ac:dyDescent="0.35">
      <c r="C16" s="3" t="s">
        <v>36</v>
      </c>
      <c r="D16" s="9">
        <f>SUM(D6:D15)</f>
        <v>16.283380772000001</v>
      </c>
      <c r="E16" s="9">
        <f t="shared" ref="E16:K16" si="7">SUM(E6:E15)</f>
        <v>39.120000000000005</v>
      </c>
      <c r="F16" s="9">
        <f t="shared" si="7"/>
        <v>0</v>
      </c>
      <c r="G16" s="9">
        <f t="shared" si="7"/>
        <v>55.403380771999998</v>
      </c>
      <c r="H16" s="9">
        <f t="shared" si="7"/>
        <v>35.843380771999996</v>
      </c>
      <c r="I16" s="9">
        <f t="shared" si="7"/>
        <v>32.259042694800002</v>
      </c>
      <c r="J16" s="10"/>
      <c r="K16" s="9">
        <f t="shared" si="7"/>
        <v>2.4027630558650994</v>
      </c>
    </row>
    <row r="17" spans="3:11" x14ac:dyDescent="0.35">
      <c r="C17" s="3" t="s">
        <v>49</v>
      </c>
      <c r="D17" s="3"/>
      <c r="E17" s="3"/>
      <c r="F17" s="3"/>
      <c r="G17" s="3"/>
      <c r="H17" s="3"/>
      <c r="I17" s="3"/>
      <c r="J17" s="3"/>
      <c r="K17" s="24">
        <f>K16/I16</f>
        <v>7.4483396131665519E-2</v>
      </c>
    </row>
    <row r="18" spans="3:11" x14ac:dyDescent="0.35">
      <c r="C18" s="3" t="s">
        <v>84</v>
      </c>
      <c r="D18" s="3"/>
      <c r="E18" s="3"/>
      <c r="F18" s="3"/>
      <c r="G18" s="3"/>
      <c r="H18" s="3"/>
      <c r="I18" s="3"/>
      <c r="J18" s="3"/>
      <c r="K18" s="9">
        <f>90%*'GFA and Funding Pattern'!E15</f>
        <v>16.7805</v>
      </c>
    </row>
    <row r="19" spans="3:11" x14ac:dyDescent="0.35">
      <c r="C19" s="3" t="s">
        <v>85</v>
      </c>
      <c r="D19" s="3"/>
      <c r="E19" s="3"/>
      <c r="F19" s="3"/>
      <c r="G19" s="3"/>
      <c r="H19" s="3"/>
      <c r="I19" s="3"/>
      <c r="J19" s="3"/>
      <c r="K19" s="9">
        <f>K17*K18</f>
        <v>1.2498686287874132</v>
      </c>
    </row>
    <row r="20" spans="3:11" x14ac:dyDescent="0.35">
      <c r="C20" s="3" t="s">
        <v>86</v>
      </c>
      <c r="D20" s="3"/>
      <c r="E20" s="3"/>
      <c r="F20" s="3"/>
      <c r="G20" s="3"/>
      <c r="H20" s="3"/>
      <c r="I20" s="3"/>
      <c r="J20" s="3"/>
      <c r="K20" s="9">
        <f>K16-K19</f>
        <v>1.1528944270776862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M19"/>
  <sheetViews>
    <sheetView topLeftCell="B6" workbookViewId="0">
      <selection activeCell="H13" sqref="H13"/>
    </sheetView>
  </sheetViews>
  <sheetFormatPr defaultRowHeight="14.5" x14ac:dyDescent="0.35"/>
  <cols>
    <col min="1" max="2" width="8.7265625" style="1"/>
    <col min="3" max="3" width="35.36328125" style="1" customWidth="1"/>
    <col min="4" max="4" width="14.1796875" style="1" customWidth="1"/>
    <col min="5" max="5" width="11.90625" style="1" customWidth="1"/>
    <col min="6" max="6" width="11.6328125" style="1" customWidth="1"/>
    <col min="7" max="7" width="11.90625" style="1" customWidth="1"/>
    <col min="8" max="8" width="9.81640625" style="1" customWidth="1"/>
    <col min="9" max="9" width="10.7265625" style="1" customWidth="1"/>
    <col min="10" max="10" width="13.54296875" style="1" customWidth="1"/>
    <col min="11" max="11" width="11.7265625" style="1" customWidth="1"/>
    <col min="12" max="12" width="12.1796875" style="1" customWidth="1"/>
    <col min="13" max="13" width="11.54296875" style="1" customWidth="1"/>
    <col min="14" max="16384" width="8.7265625" style="1"/>
  </cols>
  <sheetData>
    <row r="4" spans="3:13" ht="43.5" x14ac:dyDescent="0.35">
      <c r="C4" s="13" t="s">
        <v>0</v>
      </c>
      <c r="D4" s="14" t="s">
        <v>44</v>
      </c>
      <c r="E4" s="14" t="s">
        <v>41</v>
      </c>
      <c r="F4" s="14" t="s">
        <v>45</v>
      </c>
      <c r="G4" s="14" t="s">
        <v>42</v>
      </c>
      <c r="H4" s="14" t="s">
        <v>43</v>
      </c>
      <c r="I4" s="14" t="s">
        <v>46</v>
      </c>
      <c r="J4" s="14" t="s">
        <v>47</v>
      </c>
      <c r="K4" s="14" t="s">
        <v>48</v>
      </c>
      <c r="L4" s="14" t="s">
        <v>49</v>
      </c>
      <c r="M4" s="14" t="s">
        <v>50</v>
      </c>
    </row>
    <row r="5" spans="3:13" x14ac:dyDescent="0.35">
      <c r="C5" s="3" t="str">
        <f>[1]Depreciation!C6</f>
        <v>Land</v>
      </c>
      <c r="D5" s="9">
        <f>[1]Depreciation!G6</f>
        <v>0</v>
      </c>
      <c r="E5" s="9">
        <f>IFERROR(VLOOKUP(C5,'Capitalization Details (Scheme)'!$C$30:$F$33,2,0),0)</f>
        <v>0</v>
      </c>
      <c r="F5" s="9">
        <f t="shared" ref="F5:F14" si="0">D5+E5</f>
        <v>0</v>
      </c>
      <c r="G5" s="9">
        <f>IFERROR(VLOOKUP(C5,'Capitalization Details (Scheme)'!$C$30:$F$33,3,0),0)</f>
        <v>0</v>
      </c>
      <c r="H5" s="9">
        <v>0</v>
      </c>
      <c r="I5" s="9">
        <f t="shared" ref="I5:I14" si="1">F5+G5-H5</f>
        <v>0</v>
      </c>
      <c r="J5" s="9">
        <f t="shared" ref="J5:J14" si="2">AVERAGE(F5,I5)</f>
        <v>0</v>
      </c>
      <c r="K5" s="9">
        <f t="shared" ref="K5:K14" si="3">J5*90%</f>
        <v>0</v>
      </c>
      <c r="L5" s="23">
        <v>0</v>
      </c>
      <c r="M5" s="9">
        <f t="shared" ref="M5:M14" si="4">K5*L5</f>
        <v>0</v>
      </c>
    </row>
    <row r="6" spans="3:13" x14ac:dyDescent="0.35">
      <c r="C6" s="3" t="str">
        <f>[1]Depreciation!C7</f>
        <v>Buildings</v>
      </c>
      <c r="D6" s="9">
        <f>[1]Depreciation!G7</f>
        <v>0.87586136400000003</v>
      </c>
      <c r="E6" s="9">
        <f>IFERROR(VLOOKUP(C6,'Capitalization Details (Scheme)'!$C$30:$F$33,2,0),0)</f>
        <v>0</v>
      </c>
      <c r="F6" s="9">
        <f t="shared" si="0"/>
        <v>0.87586136400000003</v>
      </c>
      <c r="G6" s="9">
        <f>IFERROR(VLOOKUP(C6,'Capitalization Details (Scheme)'!$C$30:$F$33,3,0),0)</f>
        <v>5.5</v>
      </c>
      <c r="H6" s="9">
        <v>0</v>
      </c>
      <c r="I6" s="9">
        <f t="shared" si="1"/>
        <v>6.3758613640000004</v>
      </c>
      <c r="J6" s="9">
        <f t="shared" si="2"/>
        <v>3.6258613640000004</v>
      </c>
      <c r="K6" s="9">
        <f t="shared" si="3"/>
        <v>3.2632752276000003</v>
      </c>
      <c r="L6" s="23">
        <v>3.3399999999999999E-2</v>
      </c>
      <c r="M6" s="9">
        <f t="shared" si="4"/>
        <v>0.10899339260184</v>
      </c>
    </row>
    <row r="7" spans="3:13" x14ac:dyDescent="0.35">
      <c r="C7" s="3" t="str">
        <f>[1]Depreciation!C8</f>
        <v>Plant and Machinery</v>
      </c>
      <c r="D7" s="9">
        <f>[1]Depreciation!G8</f>
        <v>8.3150000000000002E-2</v>
      </c>
      <c r="E7" s="9">
        <f>IFERROR(VLOOKUP(C7,'Capitalization Details (Scheme)'!$C$30:$F$33,2,0),0)</f>
        <v>5.52</v>
      </c>
      <c r="F7" s="9">
        <f t="shared" si="0"/>
        <v>5.6031499999999994</v>
      </c>
      <c r="G7" s="9">
        <f>IFERROR(VLOOKUP(C7,'Capitalization Details (Scheme)'!$C$30:$F$33,3,0),0)</f>
        <v>0</v>
      </c>
      <c r="H7" s="9">
        <v>0</v>
      </c>
      <c r="I7" s="9">
        <f t="shared" si="1"/>
        <v>5.6031499999999994</v>
      </c>
      <c r="J7" s="9">
        <f t="shared" si="2"/>
        <v>5.6031499999999994</v>
      </c>
      <c r="K7" s="9">
        <f t="shared" si="3"/>
        <v>5.0428349999999993</v>
      </c>
      <c r="L7" s="23">
        <v>5.28E-2</v>
      </c>
      <c r="M7" s="9">
        <f t="shared" si="4"/>
        <v>0.26626168799999994</v>
      </c>
    </row>
    <row r="8" spans="3:13" x14ac:dyDescent="0.35">
      <c r="C8" s="3" t="str">
        <f>[1]Depreciation!C9</f>
        <v>Furniture and Fixtures</v>
      </c>
      <c r="D8" s="9">
        <f>[1]Depreciation!G9</f>
        <v>0</v>
      </c>
      <c r="E8" s="9">
        <f>IFERROR(VLOOKUP(C8,'Capitalization Details (Scheme)'!$C$30:$F$33,2,0),0)</f>
        <v>0</v>
      </c>
      <c r="F8" s="9">
        <f t="shared" si="0"/>
        <v>0</v>
      </c>
      <c r="G8" s="9">
        <f>IFERROR(VLOOKUP(C8,'Capitalization Details (Scheme)'!$C$30:$F$33,3,0),0)</f>
        <v>0</v>
      </c>
      <c r="H8" s="9">
        <v>0</v>
      </c>
      <c r="I8" s="9">
        <f t="shared" si="1"/>
        <v>0</v>
      </c>
      <c r="J8" s="9">
        <f t="shared" si="2"/>
        <v>0</v>
      </c>
      <c r="K8" s="9">
        <f t="shared" si="3"/>
        <v>0</v>
      </c>
      <c r="L8" s="23">
        <v>6.3299999999999995E-2</v>
      </c>
      <c r="M8" s="9">
        <f t="shared" si="4"/>
        <v>0</v>
      </c>
    </row>
    <row r="9" spans="3:13" x14ac:dyDescent="0.35">
      <c r="C9" s="3" t="str">
        <f>[1]Depreciation!C10</f>
        <v>Vehicles</v>
      </c>
      <c r="D9" s="9">
        <f>[1]Depreciation!G10</f>
        <v>0</v>
      </c>
      <c r="E9" s="9">
        <f>IFERROR(VLOOKUP(C9,'Capitalization Details (Scheme)'!$C$30:$F$33,2,0),0)</f>
        <v>0</v>
      </c>
      <c r="F9" s="9">
        <f t="shared" si="0"/>
        <v>0</v>
      </c>
      <c r="G9" s="9">
        <f>IFERROR(VLOOKUP(C9,'Capitalization Details (Scheme)'!$C$30:$F$33,3,0),0)</f>
        <v>0</v>
      </c>
      <c r="H9" s="9">
        <v>0</v>
      </c>
      <c r="I9" s="9">
        <f t="shared" si="1"/>
        <v>0</v>
      </c>
      <c r="J9" s="9">
        <f t="shared" si="2"/>
        <v>0</v>
      </c>
      <c r="K9" s="9">
        <f t="shared" si="3"/>
        <v>0</v>
      </c>
      <c r="L9" s="23">
        <v>9.5000000000000001E-2</v>
      </c>
      <c r="M9" s="9">
        <f t="shared" si="4"/>
        <v>0</v>
      </c>
    </row>
    <row r="10" spans="3:13" x14ac:dyDescent="0.35">
      <c r="C10" s="3" t="str">
        <f>[1]Depreciation!C11</f>
        <v>Office Equipments</v>
      </c>
      <c r="D10" s="9">
        <f>[1]Depreciation!G11</f>
        <v>6.5236786879999995</v>
      </c>
      <c r="E10" s="9">
        <f>IFERROR(VLOOKUP(C10,'Capitalization Details (Scheme)'!$C$30:$F$33,2,0),0)</f>
        <v>33.6</v>
      </c>
      <c r="F10" s="9">
        <f t="shared" si="0"/>
        <v>40.123678687999998</v>
      </c>
      <c r="G10" s="9">
        <f>IFERROR(VLOOKUP(C10,'Capitalization Details (Scheme)'!$C$30:$F$33,3,0),0)</f>
        <v>51.06</v>
      </c>
      <c r="H10" s="9">
        <v>0</v>
      </c>
      <c r="I10" s="9">
        <f t="shared" si="1"/>
        <v>91.183678688000001</v>
      </c>
      <c r="J10" s="9">
        <f t="shared" si="2"/>
        <v>65.653678687999999</v>
      </c>
      <c r="K10" s="9">
        <f t="shared" si="3"/>
        <v>59.088310819200004</v>
      </c>
      <c r="L10" s="23">
        <v>6.3299999999999995E-2</v>
      </c>
      <c r="M10" s="9">
        <f t="shared" si="4"/>
        <v>3.74029007485536</v>
      </c>
    </row>
    <row r="11" spans="3:13" x14ac:dyDescent="0.35">
      <c r="C11" s="3" t="str">
        <f>[1]Depreciation!C12</f>
        <v>Hydraulic Works</v>
      </c>
      <c r="D11" s="9">
        <f>[1]Depreciation!G12</f>
        <v>0</v>
      </c>
      <c r="E11" s="9">
        <f>IFERROR(VLOOKUP(C11,'Capitalization Details (Scheme)'!$C$30:$F$33,2,0),0)</f>
        <v>0</v>
      </c>
      <c r="F11" s="9">
        <f t="shared" si="0"/>
        <v>0</v>
      </c>
      <c r="G11" s="9">
        <f>IFERROR(VLOOKUP(C11,'Capitalization Details (Scheme)'!$C$30:$F$33,3,0),0)</f>
        <v>0</v>
      </c>
      <c r="H11" s="9">
        <v>0</v>
      </c>
      <c r="I11" s="9">
        <f t="shared" si="1"/>
        <v>0</v>
      </c>
      <c r="J11" s="9">
        <f t="shared" si="2"/>
        <v>0</v>
      </c>
      <c r="K11" s="9">
        <f t="shared" si="3"/>
        <v>0</v>
      </c>
      <c r="L11" s="23">
        <v>5.28E-2</v>
      </c>
      <c r="M11" s="9">
        <f t="shared" si="4"/>
        <v>0</v>
      </c>
    </row>
    <row r="12" spans="3:13" x14ac:dyDescent="0.35">
      <c r="C12" s="3" t="str">
        <f>[1]Depreciation!C13</f>
        <v>Other Civil Works</v>
      </c>
      <c r="D12" s="9">
        <f>[1]Depreciation!G13</f>
        <v>0</v>
      </c>
      <c r="E12" s="9">
        <f>IFERROR(VLOOKUP(C12,'Capitalization Details (Scheme)'!$C$30:$F$33,2,0),0)</f>
        <v>0</v>
      </c>
      <c r="F12" s="9">
        <f t="shared" si="0"/>
        <v>0</v>
      </c>
      <c r="G12" s="9">
        <f>IFERROR(VLOOKUP(C12,'Capitalization Details (Scheme)'!$C$30:$F$33,3,0),0)</f>
        <v>0</v>
      </c>
      <c r="H12" s="9">
        <v>0</v>
      </c>
      <c r="I12" s="9">
        <f t="shared" si="1"/>
        <v>0</v>
      </c>
      <c r="J12" s="9">
        <f t="shared" si="2"/>
        <v>0</v>
      </c>
      <c r="K12" s="9">
        <f t="shared" si="3"/>
        <v>0</v>
      </c>
      <c r="L12" s="23">
        <v>3.3399999999999999E-2</v>
      </c>
      <c r="M12" s="9">
        <f t="shared" si="4"/>
        <v>0</v>
      </c>
    </row>
    <row r="13" spans="3:13" x14ac:dyDescent="0.35">
      <c r="C13" s="3" t="str">
        <f>[1]Depreciation!C14</f>
        <v>Lines and Cable Works</v>
      </c>
      <c r="D13" s="9">
        <f>[1]Depreciation!G14</f>
        <v>3.1564999999999999</v>
      </c>
      <c r="E13" s="9">
        <f>IFERROR(VLOOKUP(C13,'Capitalization Details (Scheme)'!$C$30:$F$33,2,0),0)</f>
        <v>0</v>
      </c>
      <c r="F13" s="9">
        <f t="shared" si="0"/>
        <v>3.1564999999999999</v>
      </c>
      <c r="G13" s="9">
        <f>IFERROR(VLOOKUP(C13,'Capitalization Details (Scheme)'!$C$30:$F$33,3,0),0)</f>
        <v>0</v>
      </c>
      <c r="H13" s="9">
        <v>0</v>
      </c>
      <c r="I13" s="9">
        <f t="shared" si="1"/>
        <v>3.1564999999999999</v>
      </c>
      <c r="J13" s="9">
        <f t="shared" si="2"/>
        <v>3.1564999999999999</v>
      </c>
      <c r="K13" s="9">
        <f t="shared" si="3"/>
        <v>2.8408500000000001</v>
      </c>
      <c r="L13" s="23">
        <v>5.28E-2</v>
      </c>
      <c r="M13" s="9">
        <f t="shared" si="4"/>
        <v>0.14999688</v>
      </c>
    </row>
    <row r="14" spans="3:13" x14ac:dyDescent="0.35">
      <c r="C14" s="1" t="s">
        <v>142</v>
      </c>
      <c r="D14" s="9">
        <f>'Depreciation (2025-26)'!D15</f>
        <v>5.6520796500000001</v>
      </c>
      <c r="E14" s="9">
        <f>'Depreciation (2025-26)'!E15</f>
        <v>0</v>
      </c>
      <c r="F14" s="9">
        <f t="shared" si="0"/>
        <v>5.6520796500000001</v>
      </c>
      <c r="G14" s="9">
        <v>0</v>
      </c>
      <c r="H14" s="9">
        <v>0</v>
      </c>
      <c r="I14" s="9">
        <f t="shared" si="1"/>
        <v>5.6520796500000001</v>
      </c>
      <c r="J14" s="9">
        <f t="shared" si="2"/>
        <v>5.6520796500000001</v>
      </c>
      <c r="K14" s="9">
        <f t="shared" si="3"/>
        <v>5.0868716850000002</v>
      </c>
      <c r="L14" s="24">
        <v>0.15</v>
      </c>
      <c r="M14" s="9">
        <f t="shared" si="4"/>
        <v>0.76303075274999999</v>
      </c>
    </row>
    <row r="15" spans="3:13" x14ac:dyDescent="0.35">
      <c r="C15" s="3" t="s">
        <v>36</v>
      </c>
      <c r="D15" s="9">
        <f t="shared" ref="D15:K15" si="5">SUM(D5:D14)</f>
        <v>16.291269702000001</v>
      </c>
      <c r="E15" s="9">
        <f t="shared" si="5"/>
        <v>39.120000000000005</v>
      </c>
      <c r="F15" s="9">
        <f t="shared" si="5"/>
        <v>55.411269701999998</v>
      </c>
      <c r="G15" s="9">
        <f t="shared" si="5"/>
        <v>56.56</v>
      </c>
      <c r="H15" s="9">
        <f t="shared" si="5"/>
        <v>0</v>
      </c>
      <c r="I15" s="9">
        <f t="shared" si="5"/>
        <v>111.971269702</v>
      </c>
      <c r="J15" s="9">
        <f t="shared" si="5"/>
        <v>83.691269702</v>
      </c>
      <c r="K15" s="9">
        <f t="shared" si="5"/>
        <v>75.322142731800014</v>
      </c>
      <c r="L15" s="3"/>
      <c r="M15" s="9">
        <f>SUM(M5:M14)</f>
        <v>5.0285727882071996</v>
      </c>
    </row>
    <row r="16" spans="3:13" x14ac:dyDescent="0.35">
      <c r="C16" s="4" t="s">
        <v>49</v>
      </c>
      <c r="D16" s="4"/>
      <c r="E16" s="4"/>
      <c r="F16" s="4" t="s">
        <v>62</v>
      </c>
      <c r="G16" s="4"/>
      <c r="H16" s="4"/>
      <c r="I16" s="4"/>
      <c r="J16" s="4"/>
      <c r="K16" s="4"/>
      <c r="L16" s="4"/>
      <c r="M16" s="25">
        <f>M15/K15</f>
        <v>6.6760883398026369E-2</v>
      </c>
    </row>
    <row r="17" spans="3:13" x14ac:dyDescent="0.35">
      <c r="C17" s="4" t="s">
        <v>59</v>
      </c>
      <c r="D17" s="4"/>
      <c r="E17" s="4"/>
      <c r="F17" s="4"/>
      <c r="G17" s="4"/>
      <c r="H17" s="4"/>
      <c r="I17" s="4"/>
      <c r="J17" s="4"/>
      <c r="K17" s="4"/>
      <c r="L17" s="4"/>
      <c r="M17" s="17">
        <f>90%*'GFA and Funding Pattern'!F15</f>
        <v>58.468500000000006</v>
      </c>
    </row>
    <row r="18" spans="3:13" x14ac:dyDescent="0.35">
      <c r="C18" s="4" t="s">
        <v>60</v>
      </c>
      <c r="D18" s="4"/>
      <c r="E18" s="4"/>
      <c r="F18" s="4"/>
      <c r="G18" s="4"/>
      <c r="H18" s="4"/>
      <c r="I18" s="4"/>
      <c r="J18" s="4"/>
      <c r="K18" s="4"/>
      <c r="L18" s="4"/>
      <c r="M18" s="17">
        <f>M16*M17</f>
        <v>3.9034087109575051</v>
      </c>
    </row>
    <row r="19" spans="3:13" x14ac:dyDescent="0.35">
      <c r="C19" s="4" t="s">
        <v>61</v>
      </c>
      <c r="D19" s="4"/>
      <c r="E19" s="4"/>
      <c r="F19" s="4"/>
      <c r="G19" s="4"/>
      <c r="H19" s="4"/>
      <c r="I19" s="4"/>
      <c r="J19" s="4"/>
      <c r="K19" s="4"/>
      <c r="L19" s="4"/>
      <c r="M19" s="17">
        <f>M15-M18</f>
        <v>1.1251640772496945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5"/>
  <sheetViews>
    <sheetView workbookViewId="0">
      <selection activeCell="C5" sqref="C5:E15"/>
    </sheetView>
  </sheetViews>
  <sheetFormatPr defaultRowHeight="14.5" x14ac:dyDescent="0.35"/>
  <cols>
    <col min="1" max="2" width="8.7265625" style="1"/>
    <col min="3" max="3" width="34.90625" style="1" customWidth="1"/>
    <col min="4" max="4" width="9.90625" style="1" customWidth="1"/>
    <col min="5" max="5" width="10.7265625" style="1" customWidth="1"/>
    <col min="6" max="16384" width="8.7265625" style="1"/>
  </cols>
  <sheetData>
    <row r="5" spans="3:5" ht="29" x14ac:dyDescent="0.35">
      <c r="C5" s="13" t="s">
        <v>0</v>
      </c>
      <c r="D5" s="14" t="s">
        <v>63</v>
      </c>
      <c r="E5" s="14" t="s">
        <v>64</v>
      </c>
    </row>
    <row r="6" spans="3:5" x14ac:dyDescent="0.35">
      <c r="C6" s="3" t="s">
        <v>2</v>
      </c>
      <c r="D6" s="9">
        <v>17.920000000000002</v>
      </c>
      <c r="E6" s="9">
        <f>'GFA and Funding Pattern'!F6</f>
        <v>55.411269702000006</v>
      </c>
    </row>
    <row r="7" spans="3:5" x14ac:dyDescent="0.35">
      <c r="C7" s="3" t="s">
        <v>65</v>
      </c>
      <c r="D7" s="9">
        <v>38.1</v>
      </c>
      <c r="E7" s="9">
        <f>'GFA and Funding Pattern'!F7</f>
        <v>56.56</v>
      </c>
    </row>
    <row r="8" spans="3:5" x14ac:dyDescent="0.35">
      <c r="C8" s="3" t="s">
        <v>66</v>
      </c>
      <c r="D8" s="9">
        <v>0</v>
      </c>
      <c r="E8" s="9">
        <v>0</v>
      </c>
    </row>
    <row r="9" spans="3:5" x14ac:dyDescent="0.35">
      <c r="C9" s="4" t="s">
        <v>5</v>
      </c>
      <c r="D9" s="17">
        <f t="shared" ref="D9:E9" si="0">D6+D7-D8</f>
        <v>56.02</v>
      </c>
      <c r="E9" s="17">
        <f t="shared" si="0"/>
        <v>111.971269702</v>
      </c>
    </row>
    <row r="10" spans="3:5" x14ac:dyDescent="0.35">
      <c r="C10" s="4" t="s">
        <v>6</v>
      </c>
      <c r="D10" s="17">
        <f t="shared" ref="D10:E10" si="1">AVERAGE(D9,D6)</f>
        <v>36.97</v>
      </c>
      <c r="E10" s="17">
        <f t="shared" si="1"/>
        <v>83.691269702</v>
      </c>
    </row>
    <row r="11" spans="3:5" x14ac:dyDescent="0.35">
      <c r="C11" s="4" t="s">
        <v>67</v>
      </c>
      <c r="D11" s="17">
        <v>0</v>
      </c>
      <c r="E11" s="17">
        <f>'GFA and Funding Pattern'!F15</f>
        <v>64.965000000000003</v>
      </c>
    </row>
    <row r="12" spans="3:5" x14ac:dyDescent="0.35">
      <c r="C12" s="4" t="s">
        <v>68</v>
      </c>
      <c r="D12" s="17">
        <f t="shared" ref="D12:E12" si="2">D10-D11</f>
        <v>36.97</v>
      </c>
      <c r="E12" s="17">
        <f t="shared" si="2"/>
        <v>18.726269701999996</v>
      </c>
    </row>
    <row r="13" spans="3:5" x14ac:dyDescent="0.35">
      <c r="C13" s="4" t="s">
        <v>69</v>
      </c>
      <c r="D13" s="17">
        <f t="shared" ref="D13:E13" si="3">30%*D12</f>
        <v>11.090999999999999</v>
      </c>
      <c r="E13" s="17">
        <f t="shared" si="3"/>
        <v>5.6178809105999985</v>
      </c>
    </row>
    <row r="14" spans="3:5" x14ac:dyDescent="0.35">
      <c r="C14" s="4" t="s">
        <v>70</v>
      </c>
      <c r="D14" s="26">
        <v>0.14000000000000001</v>
      </c>
      <c r="E14" s="26">
        <v>0.14000000000000001</v>
      </c>
    </row>
    <row r="15" spans="3:5" x14ac:dyDescent="0.35">
      <c r="C15" s="4" t="s">
        <v>71</v>
      </c>
      <c r="D15" s="17">
        <f t="shared" ref="D15:E15" si="4">D13*D14</f>
        <v>1.55274</v>
      </c>
      <c r="E15" s="17">
        <f t="shared" si="4"/>
        <v>0.78650332748399987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F13"/>
  <sheetViews>
    <sheetView topLeftCell="A2" workbookViewId="0">
      <selection activeCell="D12" sqref="D12"/>
    </sheetView>
  </sheetViews>
  <sheetFormatPr defaultRowHeight="14.5" x14ac:dyDescent="0.35"/>
  <cols>
    <col min="1" max="2" width="8.7265625" style="1"/>
    <col min="3" max="3" width="34.7265625" style="1" customWidth="1"/>
    <col min="4" max="4" width="12.6328125" style="1" customWidth="1"/>
    <col min="5" max="5" width="11.90625" style="1" customWidth="1"/>
    <col min="6" max="6" width="9.6328125" style="1" customWidth="1"/>
    <col min="7" max="16384" width="8.7265625" style="1"/>
  </cols>
  <sheetData>
    <row r="6" spans="3:6" ht="43.5" x14ac:dyDescent="0.35">
      <c r="C6" s="13" t="s">
        <v>0</v>
      </c>
      <c r="D6" s="14" t="s">
        <v>72</v>
      </c>
      <c r="E6" s="14" t="s">
        <v>73</v>
      </c>
      <c r="F6" s="14" t="s">
        <v>74</v>
      </c>
    </row>
    <row r="7" spans="3:6" x14ac:dyDescent="0.35">
      <c r="C7" s="3" t="s">
        <v>75</v>
      </c>
      <c r="D7" s="9">
        <f>'[1]Interest on Loan'!E6</f>
        <v>9.9499999999999993</v>
      </c>
      <c r="E7" s="9">
        <f>D10</f>
        <v>8.6453716379638497</v>
      </c>
      <c r="F7" s="9">
        <f>E10</f>
        <v>8.7734772108861669</v>
      </c>
    </row>
    <row r="8" spans="3:6" x14ac:dyDescent="0.35">
      <c r="C8" s="3" t="s">
        <v>76</v>
      </c>
      <c r="D8" s="9">
        <f>'[1]Interest on Loan'!E7</f>
        <v>1.0108209999999999E-2</v>
      </c>
      <c r="E8" s="9">
        <f>'GFA and Funding Pattern'!E17</f>
        <v>1.2810000000000037</v>
      </c>
      <c r="F8" s="9">
        <f>'GFA and Funding Pattern'!F17</f>
        <v>0.84700000000000053</v>
      </c>
    </row>
    <row r="9" spans="3:6" x14ac:dyDescent="0.35">
      <c r="C9" s="3" t="s">
        <v>77</v>
      </c>
      <c r="D9" s="9">
        <f>'[1]Interest on Loan'!E8</f>
        <v>1.3147365720361499</v>
      </c>
      <c r="E9" s="9">
        <f>'Depreciation (2025-26)'!K20</f>
        <v>1.1528944270776862</v>
      </c>
      <c r="F9" s="9">
        <f>Depreciation!M19</f>
        <v>1.1251640772496945</v>
      </c>
    </row>
    <row r="10" spans="3:6" x14ac:dyDescent="0.35">
      <c r="C10" s="4" t="s">
        <v>78</v>
      </c>
      <c r="D10" s="17">
        <f>'[1]Interest on Loan'!E9</f>
        <v>8.6453716379638497</v>
      </c>
      <c r="E10" s="17">
        <f t="shared" ref="E10:F10" si="0">E7+E8-E9</f>
        <v>8.7734772108861669</v>
      </c>
      <c r="F10" s="17">
        <f t="shared" si="0"/>
        <v>8.4953131336364738</v>
      </c>
    </row>
    <row r="11" spans="3:6" x14ac:dyDescent="0.35">
      <c r="C11" s="4" t="s">
        <v>79</v>
      </c>
      <c r="D11" s="17">
        <f>'[1]Interest on Loan'!E10</f>
        <v>9.2976858189819254</v>
      </c>
      <c r="E11" s="17">
        <f t="shared" ref="E11:F11" si="1">AVERAGE(E7,E10)</f>
        <v>8.7094244244250092</v>
      </c>
      <c r="F11" s="17">
        <f t="shared" si="1"/>
        <v>8.6343951722613212</v>
      </c>
    </row>
    <row r="12" spans="3:6" x14ac:dyDescent="0.35">
      <c r="C12" s="3" t="s">
        <v>80</v>
      </c>
      <c r="D12" s="24">
        <f>'[1]Interest on Loan'!E11</f>
        <v>8.3799999999999999E-2</v>
      </c>
      <c r="E12" s="24">
        <f t="shared" ref="E12:F12" si="2">D12</f>
        <v>8.3799999999999999E-2</v>
      </c>
      <c r="F12" s="24">
        <f t="shared" si="2"/>
        <v>8.3799999999999999E-2</v>
      </c>
    </row>
    <row r="13" spans="3:6" x14ac:dyDescent="0.35">
      <c r="C13" s="4" t="s">
        <v>81</v>
      </c>
      <c r="D13" s="17">
        <f>'[1]Interest on Loan'!E12</f>
        <v>0.77914607163068539</v>
      </c>
      <c r="E13" s="17">
        <f t="shared" ref="E13:F13" si="3">E11*E12</f>
        <v>0.72984976676681579</v>
      </c>
      <c r="F13" s="17">
        <f t="shared" si="3"/>
        <v>0.72356231543549876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9"/>
  <sheetViews>
    <sheetView workbookViewId="0">
      <selection activeCell="C5" sqref="C5:E9"/>
    </sheetView>
  </sheetViews>
  <sheetFormatPr defaultRowHeight="14.5" x14ac:dyDescent="0.35"/>
  <cols>
    <col min="1" max="2" width="8.7265625" style="1"/>
    <col min="3" max="3" width="34.81640625" style="1" customWidth="1"/>
    <col min="4" max="4" width="9.26953125" style="1" customWidth="1"/>
    <col min="5" max="5" width="10" style="1" customWidth="1"/>
    <col min="6" max="16384" width="8.7265625" style="1"/>
  </cols>
  <sheetData>
    <row r="5" spans="3:5" ht="43.5" x14ac:dyDescent="0.35">
      <c r="C5" s="13" t="s">
        <v>0</v>
      </c>
      <c r="D5" s="14" t="s">
        <v>63</v>
      </c>
      <c r="E5" s="14" t="s">
        <v>125</v>
      </c>
    </row>
    <row r="6" spans="3:5" x14ac:dyDescent="0.35">
      <c r="C6" s="3" t="s">
        <v>122</v>
      </c>
      <c r="D6" s="7">
        <v>3.61</v>
      </c>
      <c r="E6" s="9">
        <f>'Employee Expenses'!F19</f>
        <v>3.5540265650803193</v>
      </c>
    </row>
    <row r="7" spans="3:5" x14ac:dyDescent="0.35">
      <c r="C7" s="3" t="s">
        <v>123</v>
      </c>
      <c r="D7" s="7">
        <v>0.94</v>
      </c>
      <c r="E7" s="9">
        <f>'R&amp;M Expenses'!F13</f>
        <v>1.040540119354106</v>
      </c>
    </row>
    <row r="8" spans="3:5" x14ac:dyDescent="0.35">
      <c r="C8" s="3" t="s">
        <v>124</v>
      </c>
      <c r="D8" s="7">
        <v>0.31</v>
      </c>
      <c r="E8" s="9">
        <f>'A&amp;G Expenses'!F23</f>
        <v>0.25528731879557515</v>
      </c>
    </row>
    <row r="9" spans="3:5" x14ac:dyDescent="0.35">
      <c r="C9" s="4" t="s">
        <v>36</v>
      </c>
      <c r="D9" s="11">
        <f>SUM(D6:D8)</f>
        <v>4.8599999999999994</v>
      </c>
      <c r="E9" s="17">
        <f>SUM(E6:E8)</f>
        <v>4.8498540032299999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9"/>
  <sheetViews>
    <sheetView topLeftCell="A4" workbookViewId="0">
      <selection activeCell="C5" sqref="C5:F19"/>
    </sheetView>
  </sheetViews>
  <sheetFormatPr defaultRowHeight="14.5" x14ac:dyDescent="0.35"/>
  <cols>
    <col min="1" max="2" width="8.7265625" style="1"/>
    <col min="3" max="3" width="34.6328125" style="1" customWidth="1"/>
    <col min="4" max="4" width="8.7265625" style="1"/>
    <col min="5" max="5" width="10.54296875" style="1" customWidth="1"/>
    <col min="6" max="6" width="10.1796875" style="1" customWidth="1"/>
    <col min="7" max="9" width="8.7265625" style="1"/>
    <col min="10" max="10" width="14.7265625" style="1" customWidth="1"/>
    <col min="11" max="16384" width="8.7265625" style="1"/>
  </cols>
  <sheetData>
    <row r="1" spans="3:11" x14ac:dyDescent="0.35">
      <c r="C1" s="30" t="s">
        <v>92</v>
      </c>
      <c r="D1" s="31">
        <v>5.7200000000000001E-2</v>
      </c>
    </row>
    <row r="5" spans="3:11" ht="43.5" x14ac:dyDescent="0.35">
      <c r="C5" s="27" t="s">
        <v>0</v>
      </c>
      <c r="D5" s="28" t="s">
        <v>87</v>
      </c>
      <c r="E5" s="28" t="s">
        <v>88</v>
      </c>
      <c r="F5" s="28" t="s">
        <v>14</v>
      </c>
    </row>
    <row r="6" spans="3:11" x14ac:dyDescent="0.35">
      <c r="C6" s="3" t="s">
        <v>89</v>
      </c>
      <c r="D6" s="9">
        <f>'[1]Employee Expenses'!E6</f>
        <v>2.9937662999999999</v>
      </c>
      <c r="E6" s="9">
        <f t="shared" ref="E6:F8" si="0">D6*(1+$D$1)</f>
        <v>3.1650097323599997</v>
      </c>
      <c r="F6" s="9">
        <f t="shared" si="0"/>
        <v>3.3460482890509913</v>
      </c>
      <c r="J6" s="1" t="s">
        <v>139</v>
      </c>
      <c r="K6" s="1" t="s">
        <v>140</v>
      </c>
    </row>
    <row r="7" spans="3:11" x14ac:dyDescent="0.35">
      <c r="C7" s="3" t="s">
        <v>90</v>
      </c>
      <c r="D7" s="9">
        <f>'[1]Employee Expenses'!E7</f>
        <v>0.18209400000000001</v>
      </c>
      <c r="E7" s="9">
        <f t="shared" si="0"/>
        <v>0.1925097768</v>
      </c>
      <c r="F7" s="9">
        <f t="shared" si="0"/>
        <v>0.20352133603295999</v>
      </c>
    </row>
    <row r="8" spans="3:11" x14ac:dyDescent="0.35">
      <c r="C8" s="3" t="s">
        <v>91</v>
      </c>
      <c r="D8" s="9">
        <f>'[1]Employee Expenses'!E8</f>
        <v>3.9877000000000003E-3</v>
      </c>
      <c r="E8" s="9">
        <f t="shared" si="0"/>
        <v>4.2157964399999999E-3</v>
      </c>
      <c r="F8" s="9">
        <f t="shared" si="0"/>
        <v>4.4569399963679994E-3</v>
      </c>
    </row>
    <row r="9" spans="3:11" x14ac:dyDescent="0.35">
      <c r="C9" s="4" t="s">
        <v>36</v>
      </c>
      <c r="D9" s="17">
        <f t="shared" ref="D9:F9" si="1">SUM(D6:D8)</f>
        <v>3.1798480000000002</v>
      </c>
      <c r="E9" s="17">
        <f t="shared" si="1"/>
        <v>3.3617353055999999</v>
      </c>
      <c r="F9" s="17">
        <f t="shared" si="1"/>
        <v>3.5540265650803193</v>
      </c>
    </row>
    <row r="10" spans="3:11" x14ac:dyDescent="0.35">
      <c r="C10" s="3"/>
      <c r="D10" s="3"/>
      <c r="E10" s="3"/>
      <c r="F10" s="3"/>
    </row>
    <row r="11" spans="3:11" x14ac:dyDescent="0.35">
      <c r="C11" s="29" t="s">
        <v>93</v>
      </c>
      <c r="D11" s="17">
        <f t="shared" ref="D11:F11" si="2">IF($K$6="Yes",D6*1.51-D6,0)</f>
        <v>0</v>
      </c>
      <c r="E11" s="17">
        <f t="shared" si="2"/>
        <v>0</v>
      </c>
      <c r="F11" s="17">
        <f t="shared" si="2"/>
        <v>0</v>
      </c>
    </row>
    <row r="12" spans="3:11" x14ac:dyDescent="0.35">
      <c r="C12" s="3"/>
      <c r="D12" s="3"/>
      <c r="E12" s="3"/>
      <c r="F12" s="3"/>
    </row>
    <row r="13" spans="3:11" x14ac:dyDescent="0.35">
      <c r="C13" s="3" t="s">
        <v>94</v>
      </c>
      <c r="D13" s="7">
        <v>17</v>
      </c>
      <c r="E13" s="7"/>
      <c r="F13" s="3"/>
    </row>
    <row r="14" spans="3:11" x14ac:dyDescent="0.35">
      <c r="C14" s="3"/>
      <c r="D14" s="3"/>
      <c r="E14" s="3"/>
      <c r="F14" s="3"/>
    </row>
    <row r="15" spans="3:11" x14ac:dyDescent="0.35">
      <c r="C15" s="4" t="s">
        <v>95</v>
      </c>
      <c r="D15" s="17">
        <f>SUM(F6:F8)/D13</f>
        <v>0.20906038618119527</v>
      </c>
      <c r="E15" s="4"/>
      <c r="F15" s="4"/>
    </row>
    <row r="16" spans="3:11" x14ac:dyDescent="0.35">
      <c r="C16" s="4" t="s">
        <v>96</v>
      </c>
      <c r="D16" s="11">
        <v>19</v>
      </c>
      <c r="E16" s="4"/>
      <c r="F16" s="4"/>
    </row>
    <row r="17" spans="3:6" x14ac:dyDescent="0.35">
      <c r="C17" s="4" t="s">
        <v>97</v>
      </c>
      <c r="D17" s="17">
        <f>IF(K6="Yes",D15*D16,0)</f>
        <v>0</v>
      </c>
      <c r="E17" s="4"/>
      <c r="F17" s="4"/>
    </row>
    <row r="18" spans="3:6" x14ac:dyDescent="0.35">
      <c r="C18" s="3"/>
      <c r="D18" s="3"/>
      <c r="E18" s="3"/>
      <c r="F18" s="3"/>
    </row>
    <row r="19" spans="3:6" x14ac:dyDescent="0.35">
      <c r="C19" s="4" t="s">
        <v>98</v>
      </c>
      <c r="D19" s="4"/>
      <c r="E19" s="4"/>
      <c r="F19" s="17">
        <f>SUM(F6:F8)+F11+D17</f>
        <v>3.5540265650803193</v>
      </c>
    </row>
  </sheetData>
  <dataValidations count="1">
    <dataValidation type="list" allowBlank="1" showInputMessage="1" showErrorMessage="1" sqref="K6">
      <formula1>"Yes,No"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 ARR</vt:lpstr>
      <vt:lpstr>GFA and Funding Pattern</vt:lpstr>
      <vt:lpstr>Capitalization Details (Scheme)</vt:lpstr>
      <vt:lpstr>Depreciation (2025-26)</vt:lpstr>
      <vt:lpstr>Depreciation</vt:lpstr>
      <vt:lpstr>Returrn on Equity</vt:lpstr>
      <vt:lpstr>Interest on Loan</vt:lpstr>
      <vt:lpstr>Operation and Maintenance Exp.</vt:lpstr>
      <vt:lpstr>Employee Expenses</vt:lpstr>
      <vt:lpstr>R&amp;M Expenses</vt:lpstr>
      <vt:lpstr>A&amp;G Expenses</vt:lpstr>
      <vt:lpstr>IOWC</vt:lpstr>
      <vt:lpstr>Other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Mercadosemi</cp:lastModifiedBy>
  <dcterms:created xsi:type="dcterms:W3CDTF">2025-11-04T08:14:38Z</dcterms:created>
  <dcterms:modified xsi:type="dcterms:W3CDTF">2026-02-28T18:12:39Z</dcterms:modified>
</cp:coreProperties>
</file>